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/>
  <mc:AlternateContent xmlns:mc="http://schemas.openxmlformats.org/markup-compatibility/2006">
    <mc:Choice Requires="x15">
      <x15ac:absPath xmlns:x15ac="http://schemas.microsoft.com/office/spreadsheetml/2010/11/ac" url="D:\Condivisa\CONNECTED SERVICES HL Martorella 2025\X PREV\"/>
    </mc:Choice>
  </mc:AlternateContent>
  <xr:revisionPtr revIDLastSave="0" documentId="13_ncr:1_{94B4D97D-C975-4A98-8F2C-1B169A6E8402}" xr6:coauthVersionLast="47" xr6:coauthVersionMax="47" xr10:uidLastSave="{00000000-0000-0000-0000-000000000000}"/>
  <bookViews>
    <workbookView xWindow="5085" yWindow="3465" windowWidth="14160" windowHeight="13560" xr2:uid="{671E394C-F409-4DFA-B315-52673E133C7C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9" i="1"/>
  <c r="F10" i="1"/>
  <c r="F8" i="1"/>
  <c r="E8" i="1"/>
  <c r="E10" i="1" s="1"/>
  <c r="F19" i="1" l="1"/>
  <c r="H18" i="1"/>
  <c r="B18" i="1"/>
  <c r="C19" i="1" s="1"/>
  <c r="G17" i="1"/>
  <c r="F16" i="1"/>
  <c r="I16" i="1" s="1"/>
  <c r="J16" i="1" s="1"/>
  <c r="K16" i="1" s="1"/>
  <c r="E16" i="1"/>
  <c r="B28" i="1"/>
  <c r="B26" i="1"/>
  <c r="B24" i="1"/>
  <c r="B22" i="1"/>
  <c r="B32" i="1"/>
  <c r="B30" i="1"/>
  <c r="B34" i="1"/>
  <c r="B35" i="1"/>
  <c r="B33" i="1"/>
  <c r="B31" i="1"/>
  <c r="B29" i="1"/>
  <c r="B27" i="1"/>
  <c r="B25" i="1"/>
  <c r="B23" i="1"/>
  <c r="D22" i="1"/>
  <c r="F35" i="1"/>
  <c r="H35" i="1" s="1"/>
  <c r="H34" i="1"/>
  <c r="I34" i="1"/>
  <c r="F33" i="1"/>
  <c r="H33" i="1"/>
  <c r="H32" i="1"/>
  <c r="I32" i="1" s="1"/>
  <c r="F31" i="1"/>
  <c r="H31" i="1" s="1"/>
  <c r="H30" i="1"/>
  <c r="I30" i="1" s="1"/>
  <c r="F29" i="1"/>
  <c r="H29" i="1"/>
  <c r="H28" i="1"/>
  <c r="I28" i="1"/>
  <c r="F27" i="1"/>
  <c r="H27" i="1"/>
  <c r="H26" i="1"/>
  <c r="I26" i="1"/>
  <c r="F25" i="1"/>
  <c r="H25" i="1" s="1"/>
  <c r="H24" i="1"/>
  <c r="I24" i="1"/>
  <c r="F23" i="1"/>
  <c r="H23" i="1" s="1"/>
  <c r="H22" i="1"/>
  <c r="I22" i="1"/>
  <c r="F38" i="1"/>
  <c r="H38" i="1" s="1"/>
  <c r="G21" i="1"/>
  <c r="F61" i="1"/>
  <c r="H61" i="1" s="1"/>
  <c r="C54" i="1"/>
  <c r="B46" i="1"/>
  <c r="F55" i="1"/>
  <c r="H55" i="1" s="1"/>
  <c r="B48" i="1"/>
  <c r="B47" i="1"/>
  <c r="H46" i="1"/>
  <c r="I46" i="1" s="1"/>
  <c r="H50" i="1"/>
  <c r="I50" i="1" s="1"/>
  <c r="B45" i="1"/>
  <c r="B75" i="1"/>
  <c r="H75" i="1"/>
  <c r="I75" i="1" s="1"/>
  <c r="G53" i="1"/>
  <c r="H54" i="1"/>
  <c r="H45" i="1"/>
  <c r="I45" i="1"/>
  <c r="B62" i="1"/>
  <c r="B63" i="1"/>
  <c r="C64" i="1" s="1"/>
  <c r="H47" i="1"/>
  <c r="F64" i="1"/>
  <c r="F63" i="1"/>
  <c r="H63" i="1" s="1"/>
  <c r="I63" i="1" s="1"/>
  <c r="H62" i="1"/>
  <c r="I62" i="1" s="1"/>
  <c r="H49" i="1"/>
  <c r="I49" i="1" s="1"/>
  <c r="H48" i="1"/>
  <c r="I48" i="1" s="1"/>
  <c r="I42" i="1"/>
  <c r="J42" i="1"/>
  <c r="K42" i="1" s="1"/>
  <c r="G44" i="1"/>
  <c r="C37" i="1" l="1"/>
  <c r="C39" i="1" s="1"/>
  <c r="C51" i="1"/>
  <c r="C56" i="1" s="1"/>
</calcChain>
</file>

<file path=xl/sharedStrings.xml><?xml version="1.0" encoding="utf-8"?>
<sst xmlns="http://schemas.openxmlformats.org/spreadsheetml/2006/main" count="62" uniqueCount="55">
  <si>
    <t>SVIL</t>
  </si>
  <si>
    <t>KOINE' snc</t>
  </si>
  <si>
    <t>TOTALE COMPLESSIVO</t>
  </si>
  <si>
    <t>(un corso Core + 2 Pillole collegate + test) che però gli utenti dovranno fruire come fosse un corso completo. Totale 3 oggetti + il test, tutti da tracciare su piattaforma.
• Il corso avrà una durata massima di 35/45 minuti
• le lingue saranno 16
• il test avrà circa 10 domande (soglia 100&amp; e tentativi illimitati con tracciamento di quelle corrette da tenere in memoria per i tentativi successivi)
• dovrà andare online per luglio con le versioni EN + ITA, da settembre in poi per le altre 14 lingue
 dovrà andare online per luglio con le versioni EN + ITA, da settembre in poi per le altre 14 lingue</t>
  </si>
  <si>
    <t>cartelle</t>
  </si>
  <si>
    <t>5 lingue</t>
  </si>
  <si>
    <t>TOTALE VIDEO</t>
  </si>
  <si>
    <t>Inserimento sottotitoli su video lingue caratteri NON indoeuropei (2 MINUTI - EURO 250,00) x 2 lingue Cinese, Giapponese)</t>
  </si>
  <si>
    <t>Inserimento sottotitoli su video lingue caratteri indoeuropei (2 MINUTI - EURO 200,00) x 9 lingue</t>
  </si>
  <si>
    <t>SOTTOTITOLI VIDEO 15 lingue  NO</t>
  </si>
  <si>
    <t xml:space="preserve">servizi di traduzione  - editoria elettronica - multimedia 
Via Fornasio, 5 - 10092 BEINASCO (TO)  
Tel. 011 3971099  • Fax 011 3972261 
P. IVA 05758560014
E-mail: koine@koine.it
Codice fornitore FGA: 0085199
</t>
  </si>
  <si>
    <t xml:space="preserve">Versione MASTER </t>
  </si>
  <si>
    <t>Caricamento e testing su piattaforma
• certificazione compatibilità con standard AICC o SCORM
• testing su piattaforma</t>
  </si>
  <si>
    <r>
      <t xml:space="preserve">Writer Senior - Variazioni successive a 1o sviluppo </t>
    </r>
    <r>
      <rPr>
        <b/>
        <sz val="11"/>
        <rFont val="Arial"/>
        <family val="2"/>
      </rPr>
      <t>(1 giornata X Euro 188,00)</t>
    </r>
  </si>
  <si>
    <t xml:space="preserve">TOTALE versione MASTER </t>
  </si>
  <si>
    <t>=</t>
  </si>
  <si>
    <r>
      <t xml:space="preserve">Writer Senior -  attività 2 proposte grafiche per la collana dei 5 moduli </t>
    </r>
    <r>
      <rPr>
        <b/>
        <sz val="11"/>
        <rFont val="Arial"/>
        <family val="2"/>
      </rPr>
      <t>(2 giornate X Euro 188,00)</t>
    </r>
  </si>
  <si>
    <r>
      <t xml:space="preserve"> Instructional designer - Progettazione corso e attività su storyboard e materiali esistent </t>
    </r>
    <r>
      <rPr>
        <b/>
        <sz val="11"/>
        <rFont val="Arial"/>
        <family val="2"/>
      </rPr>
      <t>(10 giornate X Euro 249,30)</t>
    </r>
  </si>
  <si>
    <t xml:space="preserve">Eventuali video da definire </t>
  </si>
  <si>
    <r>
      <t xml:space="preserve">Sviluppo delle pagine  di 1° livello complesse </t>
    </r>
    <r>
      <rPr>
        <b/>
        <sz val="11"/>
        <rFont val="Arial"/>
        <family val="2"/>
      </rPr>
      <t xml:space="preserve"> (80 PAGINE X EURO 70,50)</t>
    </r>
  </si>
  <si>
    <r>
      <t xml:space="preserve">Pagina di test di valutazione tracciante standard - 40 domande </t>
    </r>
    <r>
      <rPr>
        <b/>
        <sz val="11"/>
        <rFont val="Arial"/>
        <family val="2"/>
      </rPr>
      <t>(40 X EURO 9,40)</t>
    </r>
  </si>
  <si>
    <r>
      <t xml:space="preserve">ID – Instructional designer - creazione storyboard dei 4 moduli </t>
    </r>
    <r>
      <rPr>
        <b/>
        <sz val="11"/>
        <rFont val="Arial"/>
        <family val="2"/>
      </rPr>
      <t>(15 giornate X Euro 249,30)</t>
    </r>
  </si>
  <si>
    <t>Versioni ESTERE (4 moduli + test)</t>
  </si>
  <si>
    <t xml:space="preserve"> -  Sviluppo delle pagine di localizzazione in una qualsiasi lingua estera - 120 PAGINE X EURO 11,00</t>
  </si>
  <si>
    <t>TRADUZIONI DETTO CHE LA MEDIA DI 1 MODULO /20 PAGINE è 720 euro</t>
  </si>
  <si>
    <r>
      <rPr>
        <b/>
        <sz val="11"/>
        <rFont val="Arial"/>
        <family val="2"/>
      </rPr>
      <t>Specifiche:</t>
    </r>
    <r>
      <rPr>
        <sz val="11"/>
        <rFont val="Arial"/>
        <family val="2"/>
      </rPr>
      <t xml:space="preserve">
 - 4 moduli (articulate 360) distinti composti da 20 pagine ciascuno
 - master in lingua inglese
 - 80 videate di primo livello con animazioni, eventali esercitazioni intermedie, game, interazioni, Inclusa  ricerca/inserimento di vignette, foto, 
   icone ove richiesto
 - 4 test finali (uno per ogni modulo) - 40 domande (a scelta multipla o drag &amp; drop da definire)
</t>
    </r>
  </si>
  <si>
    <t>PREVENTIVO</t>
  </si>
  <si>
    <t>Versioni ESTERE (modulo 1)</t>
  </si>
  <si>
    <t>TOTALE versioni ESTERE</t>
  </si>
  <si>
    <t xml:space="preserve"> -  Attività testi in lingua italiana - (5 giornate X Euro 188,00)</t>
  </si>
  <si>
    <t xml:space="preserve"> -  Attività testi in lingua cinese - (8 giornate X Euro 188,00)</t>
  </si>
  <si>
    <t xml:space="preserve"> -  Attività testi in lingua polacca - (7 giornate X Euro 188,00)</t>
  </si>
  <si>
    <t xml:space="preserve"> -  Attività testi in lingua portoghese - (6 giornate X Euro 188,00)</t>
  </si>
  <si>
    <t xml:space="preserve"> -  Attività testi in lingua spagnola - (5 giornate X Euro 188,00)</t>
  </si>
  <si>
    <t xml:space="preserve"> -  Attività testi in lingua tedesca - (5 giornate X Euro 188,00)</t>
  </si>
  <si>
    <t xml:space="preserve"> -  Attività testi in lingua francese - (5 giornate X Euro 188,00)</t>
  </si>
  <si>
    <t xml:space="preserve"> -  Sviluppo delle pagine di localizzazione in lingua italiana - (59 PAGINE X EURO 11,00)</t>
  </si>
  <si>
    <t xml:space="preserve"> -  Sviluppo delle pagine di localizzazione in lingua francese - (59 PAGINE X EURO 11,00)</t>
  </si>
  <si>
    <t xml:space="preserve"> -  Sviluppo delle pagine di localizzazione in lingua tedesca- (59 PAGINE X EURO 11,00)</t>
  </si>
  <si>
    <t xml:space="preserve"> -  Sviluppo delle pagine di localizzazione in lingua spagnola - (59 PAGINE X EURO 11,00)</t>
  </si>
  <si>
    <t xml:space="preserve"> -  Sviluppo delle pagine di localizzazione in lingua portoghese - (59 PAGINE X EURO 11,00)</t>
  </si>
  <si>
    <t xml:space="preserve"> -  Sviluppo delle pagine di localizzazione in lingua polacca - (59 PAGINE X EURO 11,00)</t>
  </si>
  <si>
    <t xml:space="preserve"> -  Sviluppo delle pagine di localizzazione in lingua cinese - (59 PAGINE X EURO 11,00)</t>
  </si>
  <si>
    <t xml:space="preserve">TOTALE </t>
  </si>
  <si>
    <t xml:space="preserve">Richiesta
 - Sviluppo WBT  148 pagine sulla base di contenuti ricevuti
 - No test finale
 - Caricamento e testing su piattaforma
</t>
  </si>
  <si>
    <t xml:space="preserve">Sviluppo WBT </t>
  </si>
  <si>
    <r>
      <t xml:space="preserve">Sviluppo delle pagina evolute   </t>
    </r>
    <r>
      <rPr>
        <b/>
        <sz val="11"/>
        <rFont val="Arial"/>
        <family val="2"/>
      </rPr>
      <t xml:space="preserve"> (148 PAGINE X Euro 70,50)</t>
    </r>
  </si>
  <si>
    <t>Beinasco 10.02.2025</t>
  </si>
  <si>
    <t>PRECEDENTE</t>
  </si>
  <si>
    <t xml:space="preserve">Richiesta
 - Sviluppo 2 WBT  
 -  test finale
 - Caricamento e testing su piattaforma
</t>
  </si>
  <si>
    <t>NOI</t>
  </si>
  <si>
    <t>HL</t>
  </si>
  <si>
    <t>Preventivo WBT 2025 CONNECTED SERVICES- HL CONSULTING</t>
  </si>
  <si>
    <t>Sviluppo 1 WBT  Connected Services exF</t>
  </si>
  <si>
    <t>Sviluppo 1 WBT  Connected Services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</si>
</sst>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8" fillId="0" borderId="0" xfId="0" applyNumberFormat="1" applyFont="1"/>
    <xf numFmtId="2" fontId="1" fillId="0" borderId="0" xfId="0" applyNumberFormat="1" applyFont="1"/>
    <xf numFmtId="0" fontId="7" fillId="0" borderId="0" xfId="0" applyFont="1"/>
    <xf numFmtId="0" fontId="11" fillId="0" borderId="0" xfId="0" applyFont="1" applyAlignment="1">
      <alignment horizontal="left"/>
    </xf>
    <xf numFmtId="4" fontId="12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0" fontId="2" fillId="2" borderId="2" xfId="0" applyFont="1" applyFill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2" fontId="1" fillId="4" borderId="0" xfId="0" applyNumberFormat="1" applyFont="1" applyFill="1"/>
    <xf numFmtId="0" fontId="7" fillId="4" borderId="0" xfId="0" applyFont="1" applyFill="1"/>
    <xf numFmtId="0" fontId="1" fillId="0" borderId="0" xfId="0" applyFont="1" applyAlignment="1">
      <alignment horizontal="left" wrapText="1"/>
    </xf>
    <xf numFmtId="4" fontId="17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4" fontId="8" fillId="0" borderId="1" xfId="0" applyNumberFormat="1" applyFont="1" applyBorder="1"/>
    <xf numFmtId="0" fontId="6" fillId="4" borderId="0" xfId="0" applyFont="1" applyFill="1" applyAlignment="1">
      <alignment horizontal="left"/>
    </xf>
    <xf numFmtId="4" fontId="8" fillId="4" borderId="0" xfId="0" applyNumberFormat="1" applyFont="1" applyFill="1"/>
    <xf numFmtId="2" fontId="17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left" vertical="center" wrapText="1"/>
    </xf>
    <xf numFmtId="2" fontId="9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0" fontId="6" fillId="4" borderId="4" xfId="0" applyFont="1" applyFill="1" applyBorder="1" applyAlignment="1">
      <alignment horizontal="left"/>
    </xf>
    <xf numFmtId="4" fontId="8" fillId="4" borderId="4" xfId="0" applyNumberFormat="1" applyFont="1" applyFill="1" applyBorder="1"/>
    <xf numFmtId="2" fontId="1" fillId="4" borderId="4" xfId="0" applyNumberFormat="1" applyFont="1" applyFill="1" applyBorder="1"/>
    <xf numFmtId="0" fontId="7" fillId="4" borderId="4" xfId="0" applyFont="1" applyFill="1" applyBorder="1"/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64" fontId="8" fillId="3" borderId="1" xfId="0" applyNumberFormat="1" applyFont="1" applyFill="1" applyBorder="1"/>
    <xf numFmtId="4" fontId="10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/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18" fillId="2" borderId="3" xfId="0" applyFont="1" applyFill="1" applyBorder="1" applyAlignment="1">
      <alignment horizontal="left" vertical="center" wrapText="1"/>
    </xf>
    <xf numFmtId="0" fontId="19" fillId="0" borderId="3" xfId="0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016A-B5FA-431A-A4C6-727303C92EBD}">
  <sheetPr codeName="ripFPX applÄRstrnπ{gripFPixthnr">
    <pageSetUpPr fitToPage="1"/>
  </sheetPr>
  <dimension ref="A1:M75"/>
  <sheetViews>
    <sheetView tabSelected="1" zoomScale="85" zoomScaleNormal="85" workbookViewId="0">
      <selection activeCell="C2" sqref="C2"/>
    </sheetView>
  </sheetViews>
  <sheetFormatPr defaultColWidth="10.85546875" defaultRowHeight="14.25"/>
  <cols>
    <col min="1" max="1" width="102" style="1" customWidth="1"/>
    <col min="2" max="2" width="15.42578125" style="1" customWidth="1"/>
    <col min="3" max="3" width="16.5703125" style="1" customWidth="1"/>
    <col min="4" max="4" width="10.42578125" style="2" customWidth="1"/>
    <col min="5" max="5" width="13.5703125" style="2" customWidth="1"/>
    <col min="6" max="6" width="13.140625" style="2" customWidth="1"/>
    <col min="7" max="7" width="10.140625" style="2" customWidth="1"/>
    <col min="8" max="8" width="12.42578125" style="2" customWidth="1"/>
    <col min="9" max="16384" width="10.85546875" style="2"/>
  </cols>
  <sheetData>
    <row r="1" spans="1:11" ht="38.1" customHeight="1">
      <c r="A1" s="8" t="s">
        <v>1</v>
      </c>
      <c r="B1" s="10"/>
      <c r="C1" s="10"/>
      <c r="D1" s="10"/>
    </row>
    <row r="2" spans="1:11" ht="94.5" customHeight="1">
      <c r="A2" s="9" t="s">
        <v>10</v>
      </c>
      <c r="B2" s="4"/>
      <c r="C2" s="5" t="s">
        <v>47</v>
      </c>
      <c r="D2" s="5"/>
      <c r="F2" s="17"/>
    </row>
    <row r="3" spans="1:11" ht="12" customHeight="1">
      <c r="A3" s="9"/>
      <c r="B3" s="4"/>
      <c r="C3" s="4"/>
      <c r="D3" s="5"/>
    </row>
    <row r="4" spans="1:11" s="3" customFormat="1" ht="32.1" customHeight="1">
      <c r="A4" s="61" t="s">
        <v>52</v>
      </c>
      <c r="B4" s="62"/>
      <c r="C4" s="29"/>
      <c r="D4" s="2"/>
      <c r="E4" s="6" t="s">
        <v>51</v>
      </c>
      <c r="F4" s="6" t="s">
        <v>50</v>
      </c>
      <c r="G4" s="6"/>
      <c r="H4" s="6"/>
      <c r="I4" s="6"/>
      <c r="J4" s="6"/>
      <c r="K4" s="6"/>
    </row>
    <row r="5" spans="1:11" s="31" customFormat="1" ht="74.099999999999994" customHeight="1">
      <c r="A5" s="51" t="s">
        <v>49</v>
      </c>
      <c r="B5" s="52"/>
      <c r="C5" s="52"/>
      <c r="D5" s="30"/>
    </row>
    <row r="6" spans="1:11" s="18" customFormat="1" ht="31.5" customHeight="1">
      <c r="A6" s="54" t="s">
        <v>53</v>
      </c>
      <c r="B6" s="16"/>
      <c r="C6" s="16"/>
      <c r="D6" s="17"/>
      <c r="E6" s="17"/>
      <c r="F6" s="17"/>
    </row>
    <row r="7" spans="1:11" s="7" customFormat="1" ht="29.1" customHeight="1">
      <c r="A7" s="9" t="s">
        <v>46</v>
      </c>
      <c r="B7" s="15">
        <v>19600</v>
      </c>
      <c r="C7" s="15"/>
      <c r="D7" s="13"/>
      <c r="E7" s="56">
        <v>15000</v>
      </c>
      <c r="F7" s="56">
        <v>19600</v>
      </c>
    </row>
    <row r="8" spans="1:11" s="18" customFormat="1" ht="31.5" customHeight="1">
      <c r="A8" s="54" t="s">
        <v>54</v>
      </c>
      <c r="B8" s="16"/>
      <c r="C8" s="16"/>
      <c r="D8" s="17"/>
      <c r="E8" s="56">
        <f>E7/2</f>
        <v>7500</v>
      </c>
      <c r="F8" s="56">
        <f>F7/2</f>
        <v>9800</v>
      </c>
    </row>
    <row r="9" spans="1:11" s="7" customFormat="1" ht="29.1" customHeight="1">
      <c r="A9" s="9" t="s">
        <v>46</v>
      </c>
      <c r="B9" s="15">
        <f>B7/2</f>
        <v>9800</v>
      </c>
      <c r="C9" s="15"/>
      <c r="D9" s="13"/>
      <c r="E9" s="57"/>
      <c r="F9" s="56"/>
    </row>
    <row r="10" spans="1:11" s="28" customFormat="1" ht="24" customHeight="1" thickBot="1">
      <c r="A10" s="25" t="s">
        <v>43</v>
      </c>
      <c r="B10" s="26"/>
      <c r="C10" s="55">
        <f>B7+B9</f>
        <v>29400</v>
      </c>
      <c r="D10" s="27"/>
      <c r="E10" s="58">
        <f>E7+E8</f>
        <v>22500</v>
      </c>
      <c r="F10" s="58">
        <f>F7+F8</f>
        <v>29400</v>
      </c>
    </row>
    <row r="11" spans="1:11" s="7" customFormat="1" ht="11.25" customHeight="1" thickTop="1">
      <c r="A11" s="9"/>
      <c r="B11" s="15"/>
      <c r="C11" s="15"/>
      <c r="D11" s="12"/>
      <c r="G11" s="11"/>
      <c r="H11" s="11"/>
    </row>
    <row r="12" spans="1:11" s="7" customFormat="1" ht="11.25" customHeight="1">
      <c r="A12" s="9"/>
      <c r="B12" s="15"/>
      <c r="C12" s="15"/>
      <c r="D12" s="12"/>
      <c r="G12" s="11"/>
      <c r="H12" s="11"/>
    </row>
    <row r="13" spans="1:11" s="7" customFormat="1" ht="11.25" customHeight="1">
      <c r="A13" s="9"/>
      <c r="B13" s="15"/>
      <c r="C13" s="15"/>
      <c r="D13" s="12"/>
      <c r="G13" s="11"/>
      <c r="H13" s="11"/>
    </row>
    <row r="14" spans="1:11" s="18" customFormat="1" ht="66" customHeight="1">
      <c r="A14" s="53"/>
      <c r="B14" s="16"/>
      <c r="C14" s="16"/>
      <c r="D14" s="17"/>
      <c r="E14" s="17"/>
      <c r="F14" s="17"/>
    </row>
    <row r="15" spans="1:11" s="18" customFormat="1" ht="24" customHeight="1">
      <c r="A15" s="53" t="s">
        <v>48</v>
      </c>
      <c r="B15" s="16"/>
      <c r="C15" s="16"/>
      <c r="D15" s="17"/>
      <c r="E15" s="17"/>
      <c r="F15" s="17"/>
    </row>
    <row r="16" spans="1:11" s="31" customFormat="1" ht="74.099999999999994" customHeight="1">
      <c r="A16" s="51" t="s">
        <v>44</v>
      </c>
      <c r="B16" s="52"/>
      <c r="C16" s="52"/>
      <c r="D16" s="30"/>
      <c r="E16" s="31">
        <f>54+9+5</f>
        <v>68</v>
      </c>
      <c r="F16" s="31">
        <f>15+1+7+1+1</f>
        <v>25</v>
      </c>
      <c r="G16" s="31">
        <v>5</v>
      </c>
      <c r="I16" s="31">
        <f>F16*200</f>
        <v>5000</v>
      </c>
      <c r="J16" s="31">
        <f>I16+H16</f>
        <v>5000</v>
      </c>
      <c r="K16" s="31">
        <f>J16/200</f>
        <v>25</v>
      </c>
    </row>
    <row r="17" spans="1:10" s="18" customFormat="1" ht="31.5" customHeight="1">
      <c r="A17" s="54" t="s">
        <v>45</v>
      </c>
      <c r="B17" s="16"/>
      <c r="C17" s="16"/>
      <c r="D17" s="17"/>
      <c r="E17" s="17"/>
      <c r="F17" s="17"/>
      <c r="G17" s="18" t="e">
        <f>SUM(#REF!)</f>
        <v>#REF!</v>
      </c>
      <c r="H17" s="18">
        <v>170</v>
      </c>
    </row>
    <row r="18" spans="1:10" s="7" customFormat="1" ht="29.1" customHeight="1">
      <c r="A18" s="9" t="s">
        <v>46</v>
      </c>
      <c r="B18" s="15">
        <f>148*70.5</f>
        <v>10434</v>
      </c>
      <c r="C18" s="15"/>
      <c r="D18" s="13"/>
      <c r="E18" s="7" t="s">
        <v>0</v>
      </c>
      <c r="F18" s="14">
        <v>90</v>
      </c>
      <c r="G18" s="7">
        <v>75</v>
      </c>
      <c r="H18" s="7">
        <f>G18*F18</f>
        <v>6750</v>
      </c>
      <c r="J18" s="7">
        <v>20</v>
      </c>
    </row>
    <row r="19" spans="1:10" s="28" customFormat="1" ht="24" customHeight="1" thickBot="1">
      <c r="A19" s="25" t="s">
        <v>43</v>
      </c>
      <c r="B19" s="26"/>
      <c r="C19" s="55">
        <f>SUM(B17:B18)</f>
        <v>10434</v>
      </c>
      <c r="D19" s="27"/>
      <c r="E19" s="27"/>
      <c r="F19" s="27">
        <f>51-15</f>
        <v>36</v>
      </c>
    </row>
    <row r="20" spans="1:10" s="18" customFormat="1" ht="237.75" customHeight="1" thickTop="1">
      <c r="A20" s="53"/>
      <c r="B20" s="16"/>
      <c r="C20" s="16"/>
      <c r="D20" s="17"/>
      <c r="E20" s="17"/>
      <c r="F20" s="17"/>
    </row>
    <row r="21" spans="1:10" s="18" customFormat="1" ht="33" customHeight="1">
      <c r="A21" s="19" t="s">
        <v>27</v>
      </c>
      <c r="B21" s="16"/>
      <c r="C21" s="16"/>
      <c r="D21" s="17"/>
      <c r="E21" s="17"/>
      <c r="F21" s="17"/>
      <c r="G21" s="18" t="e">
        <f>SUM(#REF!)</f>
        <v>#REF!</v>
      </c>
      <c r="H21" s="18">
        <v>170</v>
      </c>
    </row>
    <row r="22" spans="1:10" s="7" customFormat="1" ht="24" customHeight="1">
      <c r="A22" s="9" t="s">
        <v>29</v>
      </c>
      <c r="B22" s="42">
        <f>5*188</f>
        <v>940</v>
      </c>
      <c r="C22" s="41"/>
      <c r="D22" s="7">
        <f>54+5</f>
        <v>59</v>
      </c>
      <c r="E22" s="14"/>
      <c r="F22" s="7">
        <v>6700</v>
      </c>
      <c r="G22" s="7">
        <v>0.13</v>
      </c>
      <c r="H22" s="7">
        <f t="shared" ref="H22:H35" si="0">F22*G22</f>
        <v>871</v>
      </c>
      <c r="I22" s="7">
        <f>H22/188</f>
        <v>4.6329787234042552</v>
      </c>
    </row>
    <row r="23" spans="1:10" s="7" customFormat="1" ht="24" customHeight="1">
      <c r="A23" s="9" t="s">
        <v>36</v>
      </c>
      <c r="B23" s="42">
        <f>59*11</f>
        <v>649</v>
      </c>
      <c r="C23" s="41"/>
      <c r="E23" s="14"/>
      <c r="F23" s="7">
        <f t="shared" ref="F23:F35" si="1">33+25+5</f>
        <v>63</v>
      </c>
      <c r="G23" s="7">
        <v>20</v>
      </c>
      <c r="H23" s="7">
        <f t="shared" si="0"/>
        <v>1260</v>
      </c>
    </row>
    <row r="24" spans="1:10" s="7" customFormat="1" ht="24" customHeight="1">
      <c r="A24" s="9" t="s">
        <v>35</v>
      </c>
      <c r="B24" s="42">
        <f>5*188</f>
        <v>940</v>
      </c>
      <c r="C24" s="41"/>
      <c r="E24" s="14"/>
      <c r="F24" s="7">
        <v>6700</v>
      </c>
      <c r="G24" s="7">
        <v>0.14000000000000001</v>
      </c>
      <c r="H24" s="7">
        <f t="shared" si="0"/>
        <v>938.00000000000011</v>
      </c>
      <c r="I24" s="7">
        <f>H24/188</f>
        <v>4.9893617021276606</v>
      </c>
    </row>
    <row r="25" spans="1:10" s="7" customFormat="1" ht="24" customHeight="1">
      <c r="A25" s="9" t="s">
        <v>37</v>
      </c>
      <c r="B25" s="42">
        <f>59*11</f>
        <v>649</v>
      </c>
      <c r="C25" s="41"/>
      <c r="E25" s="14"/>
      <c r="F25" s="7">
        <f t="shared" si="1"/>
        <v>63</v>
      </c>
      <c r="G25" s="7">
        <v>20</v>
      </c>
      <c r="H25" s="7">
        <f t="shared" si="0"/>
        <v>1260</v>
      </c>
    </row>
    <row r="26" spans="1:10" s="7" customFormat="1" ht="24" customHeight="1">
      <c r="A26" s="9" t="s">
        <v>34</v>
      </c>
      <c r="B26" s="42">
        <f>5*188</f>
        <v>940</v>
      </c>
      <c r="C26" s="41"/>
      <c r="E26" s="14"/>
      <c r="F26" s="7">
        <v>6700</v>
      </c>
      <c r="G26" s="7">
        <v>0.14000000000000001</v>
      </c>
      <c r="H26" s="7">
        <f t="shared" si="0"/>
        <v>938.00000000000011</v>
      </c>
      <c r="I26" s="7">
        <f>H26/188</f>
        <v>4.9893617021276606</v>
      </c>
    </row>
    <row r="27" spans="1:10" s="7" customFormat="1" ht="24" customHeight="1">
      <c r="A27" s="9" t="s">
        <v>38</v>
      </c>
      <c r="B27" s="42">
        <f>59*11</f>
        <v>649</v>
      </c>
      <c r="C27" s="41"/>
      <c r="E27" s="14"/>
      <c r="F27" s="7">
        <f t="shared" si="1"/>
        <v>63</v>
      </c>
      <c r="G27" s="7">
        <v>20</v>
      </c>
      <c r="H27" s="7">
        <f t="shared" si="0"/>
        <v>1260</v>
      </c>
    </row>
    <row r="28" spans="1:10" s="7" customFormat="1" ht="24" customHeight="1">
      <c r="A28" s="9" t="s">
        <v>33</v>
      </c>
      <c r="B28" s="42">
        <f>5*188</f>
        <v>940</v>
      </c>
      <c r="C28" s="41"/>
      <c r="E28" s="14"/>
      <c r="F28" s="7">
        <v>6700</v>
      </c>
      <c r="G28" s="7">
        <v>0.14000000000000001</v>
      </c>
      <c r="H28" s="7">
        <f t="shared" si="0"/>
        <v>938.00000000000011</v>
      </c>
      <c r="I28" s="7">
        <f>H28/188</f>
        <v>4.9893617021276606</v>
      </c>
    </row>
    <row r="29" spans="1:10" s="7" customFormat="1" ht="24" customHeight="1">
      <c r="A29" s="9" t="s">
        <v>39</v>
      </c>
      <c r="B29" s="42">
        <f>59*11</f>
        <v>649</v>
      </c>
      <c r="C29" s="41"/>
      <c r="E29" s="14"/>
      <c r="F29" s="7">
        <f t="shared" si="1"/>
        <v>63</v>
      </c>
      <c r="G29" s="7">
        <v>20</v>
      </c>
      <c r="H29" s="7">
        <f t="shared" si="0"/>
        <v>1260</v>
      </c>
    </row>
    <row r="30" spans="1:10" s="7" customFormat="1" ht="24" customHeight="1">
      <c r="A30" s="9" t="s">
        <v>32</v>
      </c>
      <c r="B30" s="42">
        <f>6*188</f>
        <v>1128</v>
      </c>
      <c r="C30" s="41"/>
      <c r="E30" s="14"/>
      <c r="F30" s="7">
        <v>6700</v>
      </c>
      <c r="G30" s="7">
        <v>0.16</v>
      </c>
      <c r="H30" s="7">
        <f t="shared" si="0"/>
        <v>1072</v>
      </c>
      <c r="I30" s="7">
        <f>H30/188</f>
        <v>5.7021276595744679</v>
      </c>
    </row>
    <row r="31" spans="1:10" s="7" customFormat="1" ht="24" customHeight="1">
      <c r="A31" s="9" t="s">
        <v>40</v>
      </c>
      <c r="B31" s="42">
        <f>59*11</f>
        <v>649</v>
      </c>
      <c r="C31" s="41"/>
      <c r="E31" s="14"/>
      <c r="F31" s="7">
        <f t="shared" si="1"/>
        <v>63</v>
      </c>
      <c r="G31" s="7">
        <v>20</v>
      </c>
      <c r="H31" s="7">
        <f t="shared" si="0"/>
        <v>1260</v>
      </c>
    </row>
    <row r="32" spans="1:10" s="7" customFormat="1" ht="24" customHeight="1">
      <c r="A32" s="9" t="s">
        <v>31</v>
      </c>
      <c r="B32" s="42">
        <f>7*188</f>
        <v>1316</v>
      </c>
      <c r="C32" s="41"/>
      <c r="E32" s="14"/>
      <c r="F32" s="7">
        <v>6700</v>
      </c>
      <c r="G32" s="7">
        <v>0.2</v>
      </c>
      <c r="H32" s="7">
        <f t="shared" si="0"/>
        <v>1340</v>
      </c>
      <c r="I32" s="7">
        <f>H32/188</f>
        <v>7.1276595744680851</v>
      </c>
    </row>
    <row r="33" spans="1:13" s="7" customFormat="1" ht="24" customHeight="1">
      <c r="A33" s="9" t="s">
        <v>41</v>
      </c>
      <c r="B33" s="42">
        <f>59*11</f>
        <v>649</v>
      </c>
      <c r="C33" s="41"/>
      <c r="E33" s="14"/>
      <c r="F33" s="7">
        <f t="shared" si="1"/>
        <v>63</v>
      </c>
      <c r="G33" s="7">
        <v>20</v>
      </c>
      <c r="H33" s="7">
        <f t="shared" si="0"/>
        <v>1260</v>
      </c>
    </row>
    <row r="34" spans="1:13" s="7" customFormat="1" ht="24" customHeight="1">
      <c r="A34" s="9" t="s">
        <v>30</v>
      </c>
      <c r="B34" s="42">
        <f>8*188</f>
        <v>1504</v>
      </c>
      <c r="C34" s="41"/>
      <c r="E34" s="14"/>
      <c r="F34" s="7">
        <v>6700</v>
      </c>
      <c r="G34" s="7">
        <v>0.3</v>
      </c>
      <c r="H34" s="7">
        <f t="shared" si="0"/>
        <v>2010</v>
      </c>
      <c r="I34" s="7">
        <f>H34/188</f>
        <v>10.691489361702128</v>
      </c>
    </row>
    <row r="35" spans="1:13" s="7" customFormat="1" ht="24" customHeight="1">
      <c r="A35" s="9" t="s">
        <v>42</v>
      </c>
      <c r="B35" s="42">
        <f>59*11</f>
        <v>649</v>
      </c>
      <c r="C35" s="41"/>
      <c r="E35" s="14"/>
      <c r="F35" s="7">
        <f t="shared" si="1"/>
        <v>63</v>
      </c>
      <c r="G35" s="7">
        <v>20</v>
      </c>
      <c r="H35" s="7">
        <f t="shared" si="0"/>
        <v>1260</v>
      </c>
    </row>
    <row r="36" spans="1:13" s="7" customFormat="1" ht="12.95" customHeight="1">
      <c r="A36" s="9"/>
      <c r="B36" s="42"/>
      <c r="C36" s="41"/>
      <c r="E36" s="14"/>
    </row>
    <row r="37" spans="1:13" s="28" customFormat="1" ht="24" customHeight="1" thickBot="1">
      <c r="A37" s="25" t="s">
        <v>28</v>
      </c>
      <c r="B37" s="26"/>
      <c r="C37" s="26">
        <f>SUM(B22:B35)</f>
        <v>12251</v>
      </c>
      <c r="D37" s="27"/>
      <c r="E37" s="27"/>
      <c r="F37" s="27"/>
    </row>
    <row r="38" spans="1:13" s="7" customFormat="1" ht="18" customHeight="1" thickTop="1">
      <c r="A38" s="9"/>
      <c r="B38" s="15"/>
      <c r="C38" s="15"/>
      <c r="D38" s="13"/>
      <c r="F38" s="7">
        <f>20*200</f>
        <v>4000</v>
      </c>
      <c r="G38" s="7">
        <v>0.18</v>
      </c>
      <c r="H38" s="7">
        <f>F38*G38</f>
        <v>720</v>
      </c>
    </row>
    <row r="39" spans="1:13" s="28" customFormat="1" ht="24" customHeight="1" thickBot="1">
      <c r="A39" s="25" t="s">
        <v>2</v>
      </c>
      <c r="B39" s="26"/>
      <c r="C39" s="26" t="e">
        <f>C37+#REF!</f>
        <v>#REF!</v>
      </c>
      <c r="D39" s="27"/>
      <c r="E39" s="27"/>
      <c r="F39" s="27"/>
    </row>
    <row r="40" spans="1:13" s="7" customFormat="1" ht="39" customHeight="1" thickTop="1">
      <c r="A40" s="9"/>
      <c r="B40" s="15"/>
      <c r="C40" s="15"/>
      <c r="D40" s="13"/>
    </row>
    <row r="41" spans="1:13" s="7" customFormat="1" ht="18" customHeight="1">
      <c r="A41" s="9" t="s">
        <v>26</v>
      </c>
      <c r="B41" s="15"/>
      <c r="C41" s="15"/>
      <c r="D41" s="13"/>
    </row>
    <row r="42" spans="1:13" s="31" customFormat="1" ht="111.75" customHeight="1">
      <c r="A42" s="59" t="s">
        <v>25</v>
      </c>
      <c r="B42" s="60"/>
      <c r="C42" s="60"/>
      <c r="D42" s="30"/>
      <c r="E42" s="31">
        <v>60</v>
      </c>
      <c r="I42" s="31">
        <f>F42*200</f>
        <v>0</v>
      </c>
      <c r="J42" s="31">
        <f>I42+H42</f>
        <v>0</v>
      </c>
      <c r="K42" s="31">
        <f>J42/200</f>
        <v>0</v>
      </c>
    </row>
    <row r="43" spans="1:13" s="7" customFormat="1" ht="57.75" customHeight="1">
      <c r="A43" s="9" t="s">
        <v>12</v>
      </c>
      <c r="B43" s="15"/>
      <c r="C43" s="35"/>
      <c r="D43" s="36"/>
      <c r="E43" s="36"/>
      <c r="H43" s="11"/>
      <c r="J43" s="7" t="s">
        <v>4</v>
      </c>
      <c r="M43" s="7" t="s">
        <v>5</v>
      </c>
    </row>
    <row r="44" spans="1:13" s="18" customFormat="1" ht="24" customHeight="1">
      <c r="A44" s="19" t="s">
        <v>11</v>
      </c>
      <c r="B44" s="16"/>
      <c r="C44" s="16"/>
      <c r="D44" s="17"/>
      <c r="E44" s="17"/>
      <c r="F44" s="17"/>
      <c r="G44" s="18" t="e">
        <f>SUM(#REF!)</f>
        <v>#REF!</v>
      </c>
      <c r="H44" s="18">
        <v>170</v>
      </c>
    </row>
    <row r="45" spans="1:13" s="7" customFormat="1" ht="36" customHeight="1">
      <c r="A45" s="9" t="s">
        <v>16</v>
      </c>
      <c r="B45" s="15">
        <f>2*188</f>
        <v>376</v>
      </c>
      <c r="C45" s="15"/>
      <c r="D45" s="12"/>
      <c r="F45" s="7">
        <v>10</v>
      </c>
      <c r="G45" s="11">
        <v>200</v>
      </c>
      <c r="H45" s="11">
        <f t="shared" ref="H45:H50" si="2">G45*F45</f>
        <v>2000</v>
      </c>
      <c r="I45" s="7">
        <f>H45/200</f>
        <v>10</v>
      </c>
    </row>
    <row r="46" spans="1:13" s="7" customFormat="1" ht="36" customHeight="1">
      <c r="A46" s="9" t="s">
        <v>21</v>
      </c>
      <c r="B46" s="15">
        <f>15*249.3</f>
        <v>3739.5</v>
      </c>
      <c r="C46" s="15"/>
      <c r="D46" s="12"/>
      <c r="F46" s="7">
        <v>10</v>
      </c>
      <c r="G46" s="11">
        <v>200</v>
      </c>
      <c r="H46" s="11">
        <f t="shared" si="2"/>
        <v>2000</v>
      </c>
      <c r="I46" s="7">
        <f>H46/200</f>
        <v>10</v>
      </c>
    </row>
    <row r="47" spans="1:13" s="7" customFormat="1" ht="35.1" customHeight="1">
      <c r="A47" s="9" t="s">
        <v>19</v>
      </c>
      <c r="B47" s="15">
        <f>80*70.5</f>
        <v>5640</v>
      </c>
      <c r="C47" s="15"/>
      <c r="D47" s="13"/>
      <c r="E47" s="7" t="s">
        <v>0</v>
      </c>
      <c r="F47" s="14">
        <v>90</v>
      </c>
      <c r="G47" s="7">
        <v>75</v>
      </c>
      <c r="H47" s="7">
        <f t="shared" si="2"/>
        <v>6750</v>
      </c>
      <c r="J47" s="7">
        <v>20</v>
      </c>
    </row>
    <row r="48" spans="1:13" s="22" customFormat="1" ht="32.1" customHeight="1">
      <c r="A48" s="9" t="s">
        <v>20</v>
      </c>
      <c r="B48" s="20">
        <f>40*9.4</f>
        <v>376</v>
      </c>
      <c r="C48" s="20"/>
      <c r="D48" s="21"/>
      <c r="E48" s="22" t="s">
        <v>0</v>
      </c>
      <c r="F48" s="23">
        <v>10</v>
      </c>
      <c r="G48" s="24">
        <v>12</v>
      </c>
      <c r="H48" s="7">
        <f t="shared" si="2"/>
        <v>120</v>
      </c>
      <c r="I48" s="22">
        <f>H48/200</f>
        <v>0.6</v>
      </c>
    </row>
    <row r="49" spans="1:10" s="7" customFormat="1" ht="30.75" customHeight="1">
      <c r="A49" s="9" t="s">
        <v>13</v>
      </c>
      <c r="B49" s="15">
        <v>188</v>
      </c>
      <c r="C49" s="15"/>
      <c r="D49" s="12"/>
      <c r="F49" s="7">
        <v>1</v>
      </c>
      <c r="G49" s="11">
        <v>200</v>
      </c>
      <c r="H49" s="11">
        <f t="shared" si="2"/>
        <v>200</v>
      </c>
      <c r="I49" s="7">
        <f>H49/200</f>
        <v>1</v>
      </c>
    </row>
    <row r="50" spans="1:10" s="7" customFormat="1" ht="30.75" customHeight="1">
      <c r="A50" s="9" t="s">
        <v>18</v>
      </c>
      <c r="B50" s="15"/>
      <c r="C50" s="15"/>
      <c r="D50" s="12"/>
      <c r="F50" s="7">
        <v>1</v>
      </c>
      <c r="G50" s="11">
        <v>200</v>
      </c>
      <c r="H50" s="11">
        <f t="shared" si="2"/>
        <v>200</v>
      </c>
      <c r="I50" s="7">
        <f>H50/200</f>
        <v>1</v>
      </c>
    </row>
    <row r="51" spans="1:10" s="28" customFormat="1" ht="24" customHeight="1" thickBot="1">
      <c r="A51" s="25" t="s">
        <v>14</v>
      </c>
      <c r="B51" s="26"/>
      <c r="C51" s="26">
        <f>SUM(B45:B49)</f>
        <v>10319.5</v>
      </c>
      <c r="D51" s="27"/>
      <c r="E51" s="27"/>
      <c r="F51" s="27"/>
    </row>
    <row r="52" spans="1:10" s="45" customFormat="1" ht="18" customHeight="1" thickTop="1">
      <c r="A52" s="43"/>
      <c r="B52" s="37"/>
      <c r="C52" s="37"/>
      <c r="D52" s="44"/>
      <c r="F52" s="46"/>
      <c r="J52" s="45">
        <v>20</v>
      </c>
    </row>
    <row r="53" spans="1:10" s="18" customFormat="1" ht="33" customHeight="1">
      <c r="A53" s="19" t="s">
        <v>22</v>
      </c>
      <c r="B53" s="16"/>
      <c r="C53" s="16"/>
      <c r="D53" s="17"/>
      <c r="E53" s="17"/>
      <c r="F53" s="17"/>
      <c r="G53" s="18" t="e">
        <f>SUM(#REF!)</f>
        <v>#REF!</v>
      </c>
      <c r="H53" s="18">
        <v>170</v>
      </c>
    </row>
    <row r="54" spans="1:10" s="7" customFormat="1" ht="24" customHeight="1">
      <c r="A54" s="9" t="s">
        <v>23</v>
      </c>
      <c r="B54" s="42"/>
      <c r="C54" s="41">
        <f>120*11</f>
        <v>1320</v>
      </c>
      <c r="E54" s="14"/>
      <c r="F54" s="7">
        <v>40</v>
      </c>
      <c r="G54" s="7">
        <v>20</v>
      </c>
      <c r="H54" s="7">
        <f>F54*G54</f>
        <v>800</v>
      </c>
    </row>
    <row r="55" spans="1:10" s="7" customFormat="1" ht="18" customHeight="1">
      <c r="A55" s="9"/>
      <c r="B55" s="15"/>
      <c r="C55" s="15"/>
      <c r="D55" s="13"/>
      <c r="F55" s="7">
        <f>20*200</f>
        <v>4000</v>
      </c>
      <c r="G55" s="7">
        <v>0.18</v>
      </c>
      <c r="H55" s="7">
        <f>F55*G55</f>
        <v>720</v>
      </c>
    </row>
    <row r="56" spans="1:10" s="28" customFormat="1" ht="24" customHeight="1" thickBot="1">
      <c r="A56" s="25" t="s">
        <v>2</v>
      </c>
      <c r="B56" s="26"/>
      <c r="C56" s="26">
        <f>C51+C54</f>
        <v>11639.5</v>
      </c>
      <c r="D56" s="27"/>
      <c r="E56" s="27"/>
      <c r="F56" s="27"/>
    </row>
    <row r="57" spans="1:10" s="33" customFormat="1" ht="21.75" customHeight="1" thickTop="1">
      <c r="A57" s="40"/>
      <c r="B57" s="41"/>
      <c r="C57" s="41"/>
      <c r="D57" s="32"/>
      <c r="E57" s="32"/>
      <c r="F57" s="32"/>
    </row>
    <row r="58" spans="1:10" s="33" customFormat="1" ht="72.75" customHeight="1">
      <c r="A58" s="40" t="s">
        <v>24</v>
      </c>
      <c r="B58" s="41"/>
      <c r="C58" s="41"/>
      <c r="D58" s="32"/>
      <c r="E58" s="32"/>
      <c r="F58" s="32"/>
    </row>
    <row r="59" spans="1:10" s="50" customFormat="1" ht="72.75" customHeight="1">
      <c r="A59" s="47"/>
      <c r="B59" s="48"/>
      <c r="C59" s="48"/>
      <c r="D59" s="49"/>
      <c r="E59" s="49"/>
      <c r="F59" s="49"/>
    </row>
    <row r="60" spans="1:10" s="33" customFormat="1" ht="72.75" customHeight="1">
      <c r="A60" s="40"/>
      <c r="B60" s="41"/>
      <c r="C60" s="41"/>
      <c r="D60" s="32"/>
      <c r="E60" s="32"/>
      <c r="F60" s="32"/>
    </row>
    <row r="61" spans="1:10" s="18" customFormat="1" ht="30.75" customHeight="1">
      <c r="A61" s="19" t="s">
        <v>9</v>
      </c>
      <c r="B61" s="16"/>
      <c r="C61" s="16"/>
      <c r="D61" s="17"/>
      <c r="E61" s="17"/>
      <c r="F61" s="7">
        <f>20*200</f>
        <v>4000</v>
      </c>
      <c r="G61" s="7">
        <v>0.18</v>
      </c>
      <c r="H61" s="7">
        <f>F61*G61</f>
        <v>720</v>
      </c>
    </row>
    <row r="62" spans="1:10" s="7" customFormat="1" ht="27.75" customHeight="1">
      <c r="A62" s="9" t="s">
        <v>8</v>
      </c>
      <c r="B62" s="15">
        <f>200*9</f>
        <v>1800</v>
      </c>
      <c r="C62" s="15"/>
      <c r="D62" s="13"/>
      <c r="F62" s="14">
        <v>200</v>
      </c>
      <c r="G62" s="7">
        <v>9</v>
      </c>
      <c r="H62" s="7">
        <f>G62*F62</f>
        <v>1800</v>
      </c>
      <c r="I62" s="7">
        <f>H62/200</f>
        <v>9</v>
      </c>
    </row>
    <row r="63" spans="1:10" s="7" customFormat="1" ht="39.75" customHeight="1">
      <c r="A63" s="9" t="s">
        <v>7</v>
      </c>
      <c r="B63" s="15">
        <f>2*250</f>
        <v>500</v>
      </c>
      <c r="C63" s="15"/>
      <c r="D63" s="13"/>
      <c r="F63" s="14">
        <f>250</f>
        <v>250</v>
      </c>
      <c r="G63" s="7">
        <v>2</v>
      </c>
      <c r="H63" s="7">
        <f>G63*F63</f>
        <v>500</v>
      </c>
      <c r="I63" s="7">
        <f>H63/200</f>
        <v>2.5</v>
      </c>
    </row>
    <row r="64" spans="1:10" s="18" customFormat="1" ht="24" customHeight="1" thickBot="1">
      <c r="A64" s="38" t="s">
        <v>6</v>
      </c>
      <c r="B64" s="39"/>
      <c r="C64" s="39">
        <f>B62+B63</f>
        <v>2300</v>
      </c>
      <c r="D64" s="17"/>
      <c r="E64" s="17"/>
      <c r="F64" s="17" t="e">
        <f>#REF!/200</f>
        <v>#REF!</v>
      </c>
    </row>
    <row r="65" spans="1:9" s="28" customFormat="1" ht="24" customHeight="1" thickTop="1" thickBot="1">
      <c r="A65" s="25" t="s">
        <v>2</v>
      </c>
      <c r="B65" s="26"/>
      <c r="C65" s="26" t="s">
        <v>15</v>
      </c>
      <c r="D65" s="27"/>
      <c r="E65" s="27"/>
      <c r="F65" s="27"/>
    </row>
    <row r="66" spans="1:9" s="7" customFormat="1" ht="18" customHeight="1" thickTop="1">
      <c r="A66" s="9"/>
      <c r="B66" s="15"/>
      <c r="C66" s="15"/>
      <c r="D66" s="13"/>
      <c r="F66" s="14"/>
    </row>
    <row r="67" spans="1:9" s="7" customFormat="1" ht="18" customHeight="1">
      <c r="A67" s="9"/>
      <c r="B67" s="15"/>
      <c r="C67" s="15"/>
      <c r="D67" s="13"/>
      <c r="F67" s="14"/>
    </row>
    <row r="68" spans="1:9" ht="128.25">
      <c r="A68" s="34" t="s">
        <v>3</v>
      </c>
    </row>
    <row r="75" spans="1:9" s="7" customFormat="1" ht="36" customHeight="1">
      <c r="A75" s="9" t="s">
        <v>17</v>
      </c>
      <c r="B75" s="15">
        <f>10*249.3</f>
        <v>2493</v>
      </c>
      <c r="C75" s="15"/>
      <c r="D75" s="12"/>
      <c r="F75" s="7">
        <v>10</v>
      </c>
      <c r="G75" s="11">
        <v>200</v>
      </c>
      <c r="H75" s="11">
        <f>G75*F75</f>
        <v>2000</v>
      </c>
      <c r="I75" s="7">
        <f>H75/200</f>
        <v>10</v>
      </c>
    </row>
  </sheetData>
  <mergeCells count="2">
    <mergeCell ref="A42:C42"/>
    <mergeCell ref="A4:B4"/>
  </mergeCells>
  <phoneticPr fontId="16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B9A9-2FF8-4FF8-BB18-3AED49802A1F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26DA-4430-4DA9-84DE-E6114FF0AEAE}">
  <dimension ref="A1"/>
  <sheetViews>
    <sheetView workbookViewId="0"/>
  </sheetViews>
  <sheetFormatPr defaultColWidth="11.42578125" defaultRowHeight="12"/>
  <sheetData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2025-02-10T13:59:47Z</cp:lastPrinted>
  <dcterms:created xsi:type="dcterms:W3CDTF">2001-04-07T14:32:34Z</dcterms:created>
  <dcterms:modified xsi:type="dcterms:W3CDTF">2025-02-11T17:35:20Z</dcterms:modified>
</cp:coreProperties>
</file>