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_fatturazione elettronica\FATTURE\2025\021_2025_ Stellantis Europe Gara rISORSE ok\"/>
    </mc:Choice>
  </mc:AlternateContent>
  <xr:revisionPtr revIDLastSave="0" documentId="13_ncr:1_{259BC6D7-85F0-45AC-AAB8-1107B64B51B1}" xr6:coauthVersionLast="47" xr6:coauthVersionMax="47" xr10:uidLastSave="{00000000-0000-0000-0000-000000000000}"/>
  <bookViews>
    <workbookView xWindow="10800" yWindow="900" windowWidth="26100" windowHeight="18630" activeTab="1" xr2:uid="{02F4AEDC-2386-46CC-9032-867A73B3E500}"/>
  </bookViews>
  <sheets>
    <sheet name="Foglio NON" sheetId="3" r:id="rId1"/>
    <sheet name="Foglio1 OK" sheetId="1" r:id="rId2"/>
    <sheet name="Fixed cost exF+50% Transv" sheetId="2" r:id="rId3"/>
  </sheets>
  <definedNames>
    <definedName name="_xlnm.Print_Area" localSheetId="0">'Foglio NON'!$A$1:$N$15</definedName>
    <definedName name="_xlnm.Print_Area" localSheetId="1">'Foglio1 OK'!$A$1:$N$11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F45" i="1"/>
  <c r="F44" i="1"/>
  <c r="N32" i="1"/>
  <c r="N30" i="1"/>
  <c r="N26" i="1"/>
  <c r="N14" i="1"/>
  <c r="N10" i="1"/>
  <c r="N7" i="1"/>
  <c r="H32" i="1" l="1"/>
  <c r="D38" i="1"/>
  <c r="D36" i="1"/>
  <c r="E30" i="1"/>
  <c r="H30" i="1" s="1"/>
  <c r="E29" i="1"/>
  <c r="O29" i="1"/>
  <c r="H29" i="1"/>
  <c r="E26" i="1"/>
  <c r="E25" i="1"/>
  <c r="H25" i="1" s="1"/>
  <c r="H26" i="1"/>
  <c r="H18" i="1"/>
  <c r="H20" i="1" s="1"/>
  <c r="H27" i="3"/>
  <c r="O21" i="3"/>
  <c r="E21" i="3"/>
  <c r="H21" i="3" s="1"/>
  <c r="O20" i="3"/>
  <c r="E20" i="3"/>
  <c r="H20" i="3" s="1"/>
  <c r="H23" i="3" s="1"/>
  <c r="H25" i="3" s="1"/>
  <c r="O13" i="3"/>
  <c r="E13" i="3"/>
  <c r="H13" i="3" s="1"/>
  <c r="O12" i="3"/>
  <c r="E12" i="3"/>
  <c r="H12" i="3" s="1"/>
  <c r="H11" i="3" s="1"/>
  <c r="C8" i="3"/>
  <c r="E8" i="3" s="1"/>
  <c r="E14" i="1"/>
  <c r="E13" i="1"/>
  <c r="O13" i="1"/>
  <c r="O10" i="1"/>
  <c r="O9" i="1"/>
  <c r="H13" i="1" l="1"/>
  <c r="O14" i="1"/>
  <c r="H14" i="1"/>
  <c r="E10" i="1"/>
  <c r="H10" i="1" s="1"/>
  <c r="E9" i="1"/>
  <c r="H9" i="1" s="1"/>
  <c r="H16" i="1" s="1"/>
  <c r="C14" i="2"/>
  <c r="G15" i="2"/>
  <c r="C7" i="1"/>
  <c r="E7" i="1" s="1"/>
  <c r="D8" i="2"/>
  <c r="D7" i="2"/>
  <c r="C7" i="2"/>
  <c r="E15" i="2" l="1"/>
  <c r="D15" i="2"/>
  <c r="C15" i="2"/>
  <c r="F15" i="2" s="1"/>
  <c r="E14" i="2"/>
  <c r="D14" i="2"/>
  <c r="E8" i="2"/>
</calcChain>
</file>

<file path=xl/sharedStrings.xml><?xml version="1.0" encoding="utf-8"?>
<sst xmlns="http://schemas.openxmlformats.org/spreadsheetml/2006/main" count="180" uniqueCount="83">
  <si>
    <t>Month</t>
  </si>
  <si>
    <t xml:space="preserve">DAYS </t>
  </si>
  <si>
    <t>TOTAL</t>
  </si>
  <si>
    <t>MANAGER</t>
  </si>
  <si>
    <r>
      <t xml:space="preserve">BUDGET </t>
    </r>
    <r>
      <rPr>
        <sz val="10"/>
        <rFont val="Aptos Narrow"/>
        <family val="2"/>
        <scheme val="minor"/>
      </rPr>
      <t>(€)</t>
    </r>
  </si>
  <si>
    <r>
      <t xml:space="preserve">PRICE </t>
    </r>
    <r>
      <rPr>
        <sz val="10"/>
        <rFont val="Aptos Narrow"/>
        <family val="2"/>
        <scheme val="minor"/>
      </rPr>
      <t>(€)</t>
    </r>
  </si>
  <si>
    <t>APPROVAL</t>
  </si>
  <si>
    <r>
      <t>GOOD RECEPTIONS</t>
    </r>
    <r>
      <rPr>
        <sz val="10"/>
        <rFont val="Aptos Narrow"/>
        <family val="2"/>
        <scheme val="minor"/>
      </rPr>
      <t xml:space="preserve"> (GR)</t>
    </r>
  </si>
  <si>
    <t>REMARKS</t>
  </si>
  <si>
    <t>who</t>
  </si>
  <si>
    <t>When</t>
  </si>
  <si>
    <r>
      <t xml:space="preserve">Amount </t>
    </r>
    <r>
      <rPr>
        <sz val="10"/>
        <color theme="1"/>
        <rFont val="Aptos Narrow"/>
        <family val="2"/>
        <scheme val="minor"/>
      </rPr>
      <t>(€)</t>
    </r>
  </si>
  <si>
    <t>Data</t>
  </si>
  <si>
    <t xml:space="preserve"> </t>
  </si>
  <si>
    <t xml:space="preserve">GLOBAL PROGRAM OFFICE </t>
  </si>
  <si>
    <t>Job Title</t>
  </si>
  <si>
    <t>GOVERNANCE ACCOUNT MANAGEMENT ACTIVITY</t>
  </si>
  <si>
    <t>1 SENIOR PROJECT MANAGEMENT ACTIVITY</t>
  </si>
  <si>
    <t>Total</t>
  </si>
  <si>
    <t xml:space="preserve">Customer Facing (Yes) </t>
  </si>
  <si>
    <t>Yes</t>
  </si>
  <si>
    <t xml:space="preserve">Full Time Equivalent % </t>
  </si>
  <si>
    <t>Cost  per person per day
 (on the basis of 218 working days)</t>
  </si>
  <si>
    <t>Fixed Cost  Total</t>
  </si>
  <si>
    <t>SENIOR PROJECT MANAGEMENT ACTIVITY - OPTIONAL</t>
  </si>
  <si>
    <t xml:space="preserve">1 JUNIOR TRAINING SPECIALIST ACTIVITY - OPTIONAl </t>
  </si>
  <si>
    <t>1 JUNIOR TRAINING SPECIALIST ACTIVITY - OPTIONAL</t>
  </si>
  <si>
    <t xml:space="preserve">Yes </t>
  </si>
  <si>
    <t>SUPPORTING ROLES Included in deliverables cost</t>
  </si>
  <si>
    <t>4 PROJECT MANAGERS (COORDINATORS)</t>
  </si>
  <si>
    <t>AGENCY INTERNAL EXPERT</t>
  </si>
  <si>
    <t>3rd PARTY EXPERTS</t>
  </si>
  <si>
    <t xml:space="preserve">Customer Facing ( Yes) </t>
  </si>
  <si>
    <t>yes</t>
  </si>
  <si>
    <t xml:space="preserve">Total  Cost  Fixed </t>
  </si>
  <si>
    <t>If needed ; Variable Cost per day</t>
  </si>
  <si>
    <t>January-February-March</t>
  </si>
  <si>
    <t>1st quarter 2025</t>
  </si>
  <si>
    <t>COST X DAY (€)</t>
  </si>
  <si>
    <t>SENIOR PROJECT MANAGEMENT ACTIVITY
(Lavinia Crivellari)</t>
  </si>
  <si>
    <t>ACTIVITY</t>
  </si>
  <si>
    <t>D'Aquino</t>
  </si>
  <si>
    <t>Purchase order 31381147:  Ex F Product training development - Fixe</t>
  </si>
  <si>
    <t>April</t>
  </si>
  <si>
    <t>Barbirato</t>
  </si>
  <si>
    <t>SENIOR PROJECT MANAGEMENT ACTIVITY
(Stefano Genovesio)</t>
  </si>
  <si>
    <t xml:space="preserve">Invoice KOINE 015/2025 </t>
  </si>
  <si>
    <t xml:space="preserve">Invoice KOINE 013/2025 </t>
  </si>
  <si>
    <t xml:space="preserve">Invoice  KOINE 019/2025 </t>
  </si>
  <si>
    <t>April-May-June</t>
  </si>
  <si>
    <t>2nd quarter 2025</t>
  </si>
  <si>
    <t>May - June - July</t>
  </si>
  <si>
    <t>Remaining amount from invoice 019/2025</t>
  </si>
  <si>
    <t>2nd quarter total</t>
  </si>
  <si>
    <t>Total order remaining amount</t>
  </si>
  <si>
    <t>17+20+23</t>
  </si>
  <si>
    <t>17+20+20</t>
  </si>
  <si>
    <t>TOTAL TO JULY</t>
  </si>
  <si>
    <t>fattrato</t>
  </si>
  <si>
    <t>3rd quarter 2025</t>
  </si>
  <si>
    <t>6+22</t>
  </si>
  <si>
    <t>4rd quarter 2025</t>
  </si>
  <si>
    <t>August-September-</t>
  </si>
  <si>
    <t>October- November-December</t>
  </si>
  <si>
    <t>23+18</t>
  </si>
  <si>
    <t>Total amount from August to December JULY</t>
  </si>
  <si>
    <t>Total amount up to July</t>
  </si>
  <si>
    <t>Total amount from August to December</t>
  </si>
  <si>
    <t>fatture</t>
  </si>
  <si>
    <t>13/2025</t>
  </si>
  <si>
    <t>15/2025</t>
  </si>
  <si>
    <t>april</t>
  </si>
  <si>
    <t>gen mar</t>
  </si>
  <si>
    <t>19/2025</t>
  </si>
  <si>
    <t>may june</t>
  </si>
  <si>
    <t>21/2025</t>
  </si>
  <si>
    <t>august</t>
  </si>
  <si>
    <t>divso 5</t>
  </si>
  <si>
    <t>sett</t>
  </si>
  <si>
    <t>ott</t>
  </si>
  <si>
    <t>da fatturare</t>
  </si>
  <si>
    <t>nov</t>
  </si>
  <si>
    <t>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</si>
</sst>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8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Arial"/>
      <family val="2"/>
    </font>
    <font>
      <b/>
      <sz val="12"/>
      <color rgb="FF00000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3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4" fontId="0" fillId="0" borderId="0" xfId="0" applyNumberFormat="1" applyAlignment="1">
      <alignment wrapText="1"/>
    </xf>
    <xf numFmtId="9" fontId="0" fillId="0" borderId="1" xfId="0" applyNumberFormat="1" applyBorder="1" applyAlignment="1">
      <alignment wrapText="1"/>
    </xf>
    <xf numFmtId="0" fontId="6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wrapText="1"/>
    </xf>
    <xf numFmtId="4" fontId="0" fillId="0" borderId="9" xfId="0" applyNumberFormat="1" applyBorder="1" applyAlignment="1">
      <alignment wrapText="1"/>
    </xf>
    <xf numFmtId="0" fontId="0" fillId="0" borderId="9" xfId="0" applyBorder="1" applyAlignment="1">
      <alignment wrapText="1"/>
    </xf>
    <xf numFmtId="4" fontId="7" fillId="0" borderId="4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wrapText="1"/>
    </xf>
    <xf numFmtId="4" fontId="8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9" fontId="0" fillId="0" borderId="0" xfId="0" applyNumberFormat="1" applyAlignment="1">
      <alignment wrapText="1"/>
    </xf>
    <xf numFmtId="4" fontId="5" fillId="0" borderId="0" xfId="0" applyNumberFormat="1" applyFont="1" applyAlignment="1">
      <alignment wrapText="1"/>
    </xf>
    <xf numFmtId="4" fontId="8" fillId="0" borderId="2" xfId="0" applyNumberFormat="1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4" borderId="0" xfId="0" applyFill="1" applyAlignment="1">
      <alignment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6" fillId="4" borderId="0" xfId="0" applyFont="1" applyFill="1" applyAlignment="1">
      <alignment wrapText="1"/>
    </xf>
    <xf numFmtId="4" fontId="6" fillId="4" borderId="0" xfId="0" applyNumberFormat="1" applyFont="1" applyFill="1" applyAlignment="1">
      <alignment wrapText="1"/>
    </xf>
    <xf numFmtId="0" fontId="0" fillId="0" borderId="13" xfId="0" applyBorder="1" applyAlignment="1">
      <alignment wrapText="1"/>
    </xf>
    <xf numFmtId="4" fontId="0" fillId="0" borderId="13" xfId="0" applyNumberFormat="1" applyBorder="1" applyAlignment="1">
      <alignment wrapText="1"/>
    </xf>
    <xf numFmtId="4" fontId="10" fillId="0" borderId="0" xfId="0" applyNumberFormat="1" applyFont="1" applyAlignment="1">
      <alignment wrapText="1"/>
    </xf>
    <xf numFmtId="4" fontId="0" fillId="0" borderId="0" xfId="0" applyNumberForma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6" fillId="5" borderId="0" xfId="0" applyFont="1" applyFill="1" applyAlignment="1">
      <alignment vertical="center" wrapText="1"/>
    </xf>
    <xf numFmtId="4" fontId="10" fillId="5" borderId="0" xfId="0" applyNumberFormat="1" applyFont="1" applyFill="1" applyAlignment="1">
      <alignment vertical="center" wrapText="1"/>
    </xf>
    <xf numFmtId="4" fontId="6" fillId="0" borderId="0" xfId="0" applyNumberFormat="1" applyFont="1" applyAlignment="1">
      <alignment wrapText="1"/>
    </xf>
    <xf numFmtId="0" fontId="12" fillId="6" borderId="14" xfId="0" applyFont="1" applyFill="1" applyBorder="1" applyAlignment="1">
      <alignment horizontal="left" vertical="top" wrapText="1" readingOrder="1"/>
    </xf>
    <xf numFmtId="0" fontId="11" fillId="6" borderId="14" xfId="0" applyFont="1" applyFill="1" applyBorder="1" applyAlignment="1">
      <alignment vertical="top" wrapText="1"/>
    </xf>
    <xf numFmtId="4" fontId="13" fillId="6" borderId="14" xfId="0" applyNumberFormat="1" applyFont="1" applyFill="1" applyBorder="1" applyAlignment="1">
      <alignment horizontal="right" vertical="top" wrapText="1" readingOrder="1"/>
    </xf>
    <xf numFmtId="4" fontId="14" fillId="6" borderId="14" xfId="0" applyNumberFormat="1" applyFont="1" applyFill="1" applyBorder="1" applyAlignment="1">
      <alignment horizontal="right" vertical="top" wrapText="1" readingOrder="1"/>
    </xf>
    <xf numFmtId="0" fontId="6" fillId="4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15" xfId="0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5DC5-3076-4887-B50B-D2C0EF213AA1}">
  <sheetPr>
    <pageSetUpPr fitToPage="1"/>
  </sheetPr>
  <dimension ref="A2:Y29"/>
  <sheetViews>
    <sheetView topLeftCell="A12" zoomScaleNormal="100" workbookViewId="0">
      <selection activeCell="B25" sqref="B25"/>
    </sheetView>
  </sheetViews>
  <sheetFormatPr defaultColWidth="8.85546875" defaultRowHeight="15" x14ac:dyDescent="0.25"/>
  <cols>
    <col min="1" max="1" width="8.85546875" style="3"/>
    <col min="2" max="2" width="26.7109375" style="3" customWidth="1"/>
    <col min="3" max="3" width="17.7109375" style="3" customWidth="1"/>
    <col min="4" max="4" width="16.7109375" style="3" customWidth="1"/>
    <col min="5" max="5" width="11.7109375" style="3" customWidth="1"/>
    <col min="6" max="6" width="13.7109375" style="3" customWidth="1"/>
    <col min="7" max="7" width="13" style="3" customWidth="1"/>
    <col min="8" max="8" width="16" style="3" customWidth="1"/>
    <col min="9" max="9" width="8.85546875" style="3"/>
    <col min="10" max="10" width="9.140625" style="3" bestFit="1" customWidth="1"/>
    <col min="11" max="11" width="10.5703125" style="3" customWidth="1"/>
    <col min="12" max="16384" width="8.85546875" style="3"/>
  </cols>
  <sheetData>
    <row r="2" spans="1:25" s="37" customFormat="1" x14ac:dyDescent="0.25">
      <c r="A2" s="51" t="s">
        <v>42</v>
      </c>
      <c r="B2" s="52"/>
      <c r="C2" s="52"/>
      <c r="D2" s="52"/>
      <c r="E2" s="52"/>
      <c r="F2" s="52"/>
      <c r="H2" s="38">
        <v>238500</v>
      </c>
    </row>
    <row r="3" spans="1:25" s="31" customFormat="1" x14ac:dyDescent="0.25"/>
    <row r="4" spans="1:25" ht="18.600000000000001" customHeight="1" x14ac:dyDescent="0.25">
      <c r="A4" s="53" t="s">
        <v>0</v>
      </c>
      <c r="B4" s="53" t="s">
        <v>40</v>
      </c>
      <c r="C4" s="53" t="s">
        <v>1</v>
      </c>
      <c r="D4" s="54" t="s">
        <v>38</v>
      </c>
      <c r="E4" s="53" t="s">
        <v>2</v>
      </c>
      <c r="F4" s="53" t="s">
        <v>3</v>
      </c>
      <c r="G4" s="54" t="s">
        <v>4</v>
      </c>
      <c r="H4" s="54" t="s">
        <v>5</v>
      </c>
      <c r="I4" s="54" t="s">
        <v>6</v>
      </c>
      <c r="J4" s="54"/>
      <c r="K4" s="54" t="s">
        <v>7</v>
      </c>
      <c r="L4" s="54"/>
      <c r="M4" s="55" t="s">
        <v>8</v>
      </c>
      <c r="N4" s="29"/>
      <c r="O4" s="29"/>
      <c r="P4" s="29"/>
      <c r="Q4" s="29"/>
      <c r="R4" s="29"/>
      <c r="S4" s="29"/>
      <c r="T4" s="30"/>
      <c r="U4" s="30"/>
      <c r="V4" s="30"/>
      <c r="W4" s="30"/>
      <c r="X4" s="30"/>
      <c r="Y4" s="30"/>
    </row>
    <row r="5" spans="1:25" ht="23.45" customHeight="1" x14ac:dyDescent="0.25">
      <c r="A5" s="53"/>
      <c r="B5" s="53"/>
      <c r="C5" s="53"/>
      <c r="D5" s="54"/>
      <c r="E5" s="53"/>
      <c r="F5" s="53"/>
      <c r="G5" s="54"/>
      <c r="H5" s="54"/>
      <c r="I5" s="1" t="s">
        <v>9</v>
      </c>
      <c r="J5" s="1" t="s">
        <v>10</v>
      </c>
      <c r="K5" s="1" t="s">
        <v>11</v>
      </c>
      <c r="L5" s="1" t="s">
        <v>12</v>
      </c>
      <c r="M5" s="55"/>
      <c r="N5" s="29"/>
      <c r="O5" s="29"/>
      <c r="P5" s="29"/>
      <c r="Q5" s="29"/>
      <c r="R5" s="29"/>
      <c r="S5" s="29"/>
      <c r="T5" s="30"/>
      <c r="U5" s="30"/>
      <c r="V5" s="30"/>
      <c r="W5" s="30"/>
      <c r="X5" s="30"/>
      <c r="Y5" s="30"/>
    </row>
    <row r="6" spans="1:25" s="7" customFormat="1" ht="21.75" customHeight="1" x14ac:dyDescent="0.25">
      <c r="B6" s="7" t="s">
        <v>47</v>
      </c>
      <c r="H6" s="41">
        <v>35268.65</v>
      </c>
    </row>
    <row r="7" spans="1:25" s="34" customFormat="1" ht="45" x14ac:dyDescent="0.25">
      <c r="A7" s="32" t="s">
        <v>36</v>
      </c>
      <c r="B7" s="32" t="s">
        <v>16</v>
      </c>
      <c r="C7" s="32" t="s">
        <v>37</v>
      </c>
      <c r="D7" s="32"/>
      <c r="E7" s="33"/>
      <c r="F7" s="33"/>
      <c r="G7" s="33">
        <v>80000</v>
      </c>
      <c r="H7" s="33">
        <v>20000</v>
      </c>
      <c r="I7" s="33"/>
      <c r="J7" s="32"/>
      <c r="K7" s="32"/>
      <c r="L7" s="32"/>
      <c r="M7" s="32"/>
    </row>
    <row r="8" spans="1:25" s="34" customFormat="1" ht="45" x14ac:dyDescent="0.25">
      <c r="A8" s="32" t="s">
        <v>36</v>
      </c>
      <c r="B8" s="32" t="s">
        <v>39</v>
      </c>
      <c r="C8" s="35">
        <f>2+20+20</f>
        <v>42</v>
      </c>
      <c r="D8" s="32">
        <v>363.53</v>
      </c>
      <c r="E8" s="33">
        <f>C8*D8</f>
        <v>15268.259999999998</v>
      </c>
      <c r="F8" s="36" t="s">
        <v>41</v>
      </c>
      <c r="G8" s="33">
        <v>80000</v>
      </c>
      <c r="H8" s="33">
        <v>15268.26</v>
      </c>
      <c r="I8" s="33"/>
      <c r="J8" s="32"/>
      <c r="K8" s="32"/>
      <c r="L8" s="32"/>
      <c r="M8" s="32"/>
    </row>
    <row r="11" spans="1:25" s="7" customFormat="1" ht="21.75" customHeight="1" x14ac:dyDescent="0.25">
      <c r="B11" s="7" t="s">
        <v>46</v>
      </c>
      <c r="H11" s="41">
        <f>SUM(H12:H13)</f>
        <v>12288.66</v>
      </c>
    </row>
    <row r="12" spans="1:25" s="34" customFormat="1" ht="45" x14ac:dyDescent="0.25">
      <c r="A12" s="32" t="s">
        <v>43</v>
      </c>
      <c r="B12" s="32" t="s">
        <v>39</v>
      </c>
      <c r="C12" s="35">
        <v>17</v>
      </c>
      <c r="D12" s="32">
        <v>295.18</v>
      </c>
      <c r="E12" s="33">
        <f>C12*D12</f>
        <v>5018.0600000000004</v>
      </c>
      <c r="F12" s="36" t="s">
        <v>41</v>
      </c>
      <c r="G12" s="33">
        <v>80000</v>
      </c>
      <c r="H12" s="33">
        <f>E12</f>
        <v>5018.0600000000004</v>
      </c>
      <c r="I12" s="33"/>
      <c r="J12" s="32"/>
      <c r="K12" s="32"/>
      <c r="L12" s="32"/>
      <c r="M12" s="32"/>
      <c r="O12" s="34">
        <f>17</f>
        <v>17</v>
      </c>
    </row>
    <row r="13" spans="1:25" s="34" customFormat="1" ht="45" x14ac:dyDescent="0.25">
      <c r="A13" s="32" t="s">
        <v>43</v>
      </c>
      <c r="B13" s="32" t="s">
        <v>45</v>
      </c>
      <c r="C13" s="35">
        <v>20</v>
      </c>
      <c r="D13" s="32">
        <v>363.53</v>
      </c>
      <c r="E13" s="33">
        <f>C13*D13</f>
        <v>7270.5999999999995</v>
      </c>
      <c r="F13" s="36" t="s">
        <v>44</v>
      </c>
      <c r="G13" s="33">
        <v>80000</v>
      </c>
      <c r="H13" s="33">
        <f>E13</f>
        <v>7270.5999999999995</v>
      </c>
      <c r="I13" s="33"/>
      <c r="J13" s="32"/>
      <c r="K13" s="32"/>
      <c r="L13" s="32"/>
      <c r="M13" s="32"/>
      <c r="O13" s="34">
        <f>20</f>
        <v>20</v>
      </c>
    </row>
    <row r="15" spans="1:25" s="39" customFormat="1" ht="15.75" thickBot="1" x14ac:dyDescent="0.3">
      <c r="C15" s="40"/>
    </row>
    <row r="16" spans="1:25" ht="15.75" thickTop="1" x14ac:dyDescent="0.25">
      <c r="C16" s="5"/>
    </row>
    <row r="17" spans="1:15" x14ac:dyDescent="0.25">
      <c r="B17" s="7" t="s">
        <v>48</v>
      </c>
      <c r="H17" s="41">
        <v>71692.69</v>
      </c>
    </row>
    <row r="19" spans="1:15" s="34" customFormat="1" ht="51" customHeight="1" x14ac:dyDescent="0.25">
      <c r="A19" s="32" t="s">
        <v>49</v>
      </c>
      <c r="B19" s="32" t="s">
        <v>16</v>
      </c>
      <c r="C19" s="32" t="s">
        <v>50</v>
      </c>
      <c r="D19" s="32"/>
      <c r="E19" s="33"/>
      <c r="F19" s="33"/>
      <c r="G19" s="33"/>
      <c r="H19" s="33">
        <v>20000</v>
      </c>
      <c r="I19" s="33"/>
      <c r="J19" s="32"/>
      <c r="K19" s="32"/>
      <c r="L19" s="32"/>
      <c r="M19" s="32"/>
    </row>
    <row r="20" spans="1:15" s="34" customFormat="1" ht="45" x14ac:dyDescent="0.25">
      <c r="A20" s="32" t="s">
        <v>51</v>
      </c>
      <c r="B20" s="32" t="s">
        <v>39</v>
      </c>
      <c r="C20" s="35" t="s">
        <v>55</v>
      </c>
      <c r="D20" s="32">
        <v>295.18</v>
      </c>
      <c r="E20" s="33">
        <f>60*D20</f>
        <v>17710.8</v>
      </c>
      <c r="F20" s="36" t="s">
        <v>41</v>
      </c>
      <c r="G20" s="33"/>
      <c r="H20" s="33">
        <f>E20</f>
        <v>17710.8</v>
      </c>
      <c r="I20" s="33"/>
      <c r="J20" s="32"/>
      <c r="K20" s="32"/>
      <c r="L20" s="32"/>
      <c r="M20" s="32"/>
      <c r="O20" s="34">
        <f>17+20+23</f>
        <v>60</v>
      </c>
    </row>
    <row r="21" spans="1:15" s="34" customFormat="1" ht="45" x14ac:dyDescent="0.25">
      <c r="A21" s="32" t="s">
        <v>51</v>
      </c>
      <c r="B21" s="32" t="s">
        <v>45</v>
      </c>
      <c r="C21" s="35" t="s">
        <v>56</v>
      </c>
      <c r="D21" s="32">
        <v>363.53</v>
      </c>
      <c r="E21" s="33">
        <f>57*D21</f>
        <v>20721.21</v>
      </c>
      <c r="F21" s="36" t="s">
        <v>44</v>
      </c>
      <c r="G21" s="33"/>
      <c r="H21" s="33">
        <f>E21</f>
        <v>20721.21</v>
      </c>
      <c r="I21" s="33"/>
      <c r="J21" s="32"/>
      <c r="K21" s="32"/>
      <c r="L21" s="32"/>
      <c r="M21" s="32"/>
      <c r="O21" s="34">
        <f>17+20+20</f>
        <v>57</v>
      </c>
    </row>
    <row r="22" spans="1:15" ht="9" customHeight="1" x14ac:dyDescent="0.25">
      <c r="H22" s="26"/>
    </row>
    <row r="23" spans="1:15" s="34" customFormat="1" x14ac:dyDescent="0.25">
      <c r="B23" s="34" t="s">
        <v>53</v>
      </c>
      <c r="H23" s="42">
        <f>SUM(H19:H22)</f>
        <v>58432.01</v>
      </c>
    </row>
    <row r="24" spans="1:15" s="34" customFormat="1" ht="9" customHeight="1" x14ac:dyDescent="0.25"/>
    <row r="25" spans="1:15" s="34" customFormat="1" ht="30" x14ac:dyDescent="0.25">
      <c r="B25" s="34" t="s">
        <v>52</v>
      </c>
      <c r="H25" s="43">
        <f>H17-H23</f>
        <v>13260.68</v>
      </c>
    </row>
    <row r="26" spans="1:15" s="34" customFormat="1" x14ac:dyDescent="0.25">
      <c r="H26" s="43"/>
    </row>
    <row r="27" spans="1:15" s="44" customFormat="1" ht="30" x14ac:dyDescent="0.25">
      <c r="B27" s="44" t="s">
        <v>54</v>
      </c>
      <c r="H27" s="45">
        <f>H2-H6-H11-H17</f>
        <v>119250</v>
      </c>
    </row>
    <row r="29" spans="1:15" x14ac:dyDescent="0.25">
      <c r="H29" s="5"/>
      <c r="J29" s="5"/>
    </row>
  </sheetData>
  <mergeCells count="12">
    <mergeCell ref="G4:G5"/>
    <mergeCell ref="H4:H5"/>
    <mergeCell ref="I4:J4"/>
    <mergeCell ref="K4:L4"/>
    <mergeCell ref="M4:M5"/>
    <mergeCell ref="A2:F2"/>
    <mergeCell ref="A4:A5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9CE1-0212-4EA3-8DF3-6185CA16FDEB}">
  <sheetPr>
    <pageSetUpPr fitToPage="1"/>
  </sheetPr>
  <dimension ref="A2:Y49"/>
  <sheetViews>
    <sheetView tabSelected="1" topLeftCell="A24" zoomScaleNormal="100" workbookViewId="0">
      <pane xSplit="18990" ySplit="2220" topLeftCell="N28" activePane="bottomLeft"/>
      <selection activeCell="K31" sqref="K31"/>
      <selection pane="topRight" activeCell="N31" sqref="N31"/>
      <selection pane="bottomLeft" activeCell="D52" sqref="D52"/>
      <selection pane="bottomRight" activeCell="N33" sqref="N33"/>
    </sheetView>
  </sheetViews>
  <sheetFormatPr defaultColWidth="8.85546875" defaultRowHeight="15" x14ac:dyDescent="0.25"/>
  <cols>
    <col min="1" max="1" width="14.140625" style="3" customWidth="1"/>
    <col min="2" max="2" width="27.85546875" style="3" customWidth="1"/>
    <col min="3" max="3" width="17.7109375" style="3" customWidth="1"/>
    <col min="4" max="4" width="16.7109375" style="3" customWidth="1"/>
    <col min="5" max="5" width="11.7109375" style="3" customWidth="1"/>
    <col min="6" max="6" width="13.7109375" style="3" customWidth="1"/>
    <col min="7" max="7" width="13" style="3" customWidth="1"/>
    <col min="8" max="8" width="16" style="3" customWidth="1"/>
    <col min="9" max="9" width="8.85546875" style="3"/>
    <col min="10" max="10" width="9.140625" style="3" bestFit="1" customWidth="1"/>
    <col min="11" max="11" width="10.5703125" style="3" customWidth="1"/>
    <col min="12" max="13" width="8.85546875" style="3"/>
    <col min="14" max="14" width="19.140625" style="3" customWidth="1"/>
    <col min="15" max="16384" width="8.85546875" style="3"/>
  </cols>
  <sheetData>
    <row r="2" spans="1:25" s="37" customFormat="1" x14ac:dyDescent="0.25">
      <c r="A2" s="51" t="s">
        <v>42</v>
      </c>
      <c r="B2" s="52"/>
      <c r="C2" s="52"/>
      <c r="D2" s="52"/>
      <c r="E2" s="52"/>
      <c r="F2" s="52"/>
      <c r="H2" s="38">
        <v>238500</v>
      </c>
    </row>
    <row r="3" spans="1:25" s="31" customFormat="1" x14ac:dyDescent="0.25"/>
    <row r="4" spans="1:25" ht="18.600000000000001" customHeight="1" x14ac:dyDescent="0.25">
      <c r="A4" s="53" t="s">
        <v>0</v>
      </c>
      <c r="B4" s="53" t="s">
        <v>40</v>
      </c>
      <c r="C4" s="53" t="s">
        <v>1</v>
      </c>
      <c r="D4" s="54" t="s">
        <v>38</v>
      </c>
      <c r="E4" s="53" t="s">
        <v>2</v>
      </c>
      <c r="F4" s="53" t="s">
        <v>3</v>
      </c>
      <c r="G4" s="54" t="s">
        <v>4</v>
      </c>
      <c r="H4" s="54" t="s">
        <v>5</v>
      </c>
      <c r="I4" s="54" t="s">
        <v>6</v>
      </c>
      <c r="J4" s="54"/>
      <c r="K4" s="54" t="s">
        <v>7</v>
      </c>
      <c r="L4" s="54"/>
      <c r="M4" s="55" t="s">
        <v>8</v>
      </c>
      <c r="N4" s="29"/>
      <c r="O4" s="29"/>
      <c r="P4" s="29"/>
      <c r="Q4" s="29"/>
      <c r="R4" s="29"/>
      <c r="S4" s="29"/>
      <c r="T4" s="30"/>
      <c r="U4" s="30"/>
      <c r="V4" s="30"/>
      <c r="W4" s="30"/>
      <c r="X4" s="30"/>
      <c r="Y4" s="30"/>
    </row>
    <row r="5" spans="1:25" ht="23.45" customHeight="1" x14ac:dyDescent="0.25">
      <c r="A5" s="53"/>
      <c r="B5" s="53"/>
      <c r="C5" s="53"/>
      <c r="D5" s="54"/>
      <c r="E5" s="53"/>
      <c r="F5" s="53"/>
      <c r="G5" s="54"/>
      <c r="H5" s="54"/>
      <c r="I5" s="1" t="s">
        <v>9</v>
      </c>
      <c r="J5" s="1" t="s">
        <v>10</v>
      </c>
      <c r="K5" s="1" t="s">
        <v>11</v>
      </c>
      <c r="L5" s="1" t="s">
        <v>12</v>
      </c>
      <c r="M5" s="55"/>
      <c r="N5" s="29"/>
      <c r="O5" s="29"/>
      <c r="P5" s="29"/>
      <c r="Q5" s="29"/>
      <c r="R5" s="29"/>
      <c r="S5" s="29"/>
      <c r="T5" s="30"/>
      <c r="U5" s="30"/>
      <c r="V5" s="30"/>
      <c r="W5" s="30"/>
      <c r="X5" s="30"/>
      <c r="Y5" s="30"/>
    </row>
    <row r="6" spans="1:25" s="34" customFormat="1" ht="45" x14ac:dyDescent="0.25">
      <c r="A6" s="32" t="s">
        <v>36</v>
      </c>
      <c r="B6" s="32" t="s">
        <v>16</v>
      </c>
      <c r="C6" s="32" t="s">
        <v>37</v>
      </c>
      <c r="D6" s="32"/>
      <c r="E6" s="33"/>
      <c r="F6" s="33"/>
      <c r="G6" s="33">
        <v>80000</v>
      </c>
      <c r="H6" s="33">
        <v>20000</v>
      </c>
      <c r="I6" s="33"/>
      <c r="J6" s="32"/>
      <c r="K6" s="32"/>
      <c r="L6" s="32"/>
      <c r="M6" s="32"/>
    </row>
    <row r="7" spans="1:25" s="34" customFormat="1" ht="45" x14ac:dyDescent="0.25">
      <c r="A7" s="32" t="s">
        <v>36</v>
      </c>
      <c r="B7" s="32" t="s">
        <v>39</v>
      </c>
      <c r="C7" s="35">
        <f>2+20+20</f>
        <v>42</v>
      </c>
      <c r="D7" s="32">
        <v>295.18</v>
      </c>
      <c r="E7" s="33">
        <f>C7*D7</f>
        <v>12397.56</v>
      </c>
      <c r="F7" s="36" t="s">
        <v>41</v>
      </c>
      <c r="G7" s="33">
        <v>80000</v>
      </c>
      <c r="H7" s="33">
        <v>15268.26</v>
      </c>
      <c r="I7" s="33"/>
      <c r="J7" s="32"/>
      <c r="K7" s="32"/>
      <c r="L7" s="32"/>
      <c r="M7" s="32"/>
      <c r="N7" s="42">
        <f>SUM(H6:H7)</f>
        <v>35268.26</v>
      </c>
    </row>
    <row r="9" spans="1:25" s="34" customFormat="1" ht="45" x14ac:dyDescent="0.25">
      <c r="A9" s="32" t="s">
        <v>43</v>
      </c>
      <c r="B9" s="32" t="s">
        <v>39</v>
      </c>
      <c r="C9" s="35">
        <v>17</v>
      </c>
      <c r="D9" s="32">
        <v>295.18</v>
      </c>
      <c r="E9" s="33">
        <f>C9*D9</f>
        <v>5018.0600000000004</v>
      </c>
      <c r="F9" s="36" t="s">
        <v>41</v>
      </c>
      <c r="G9" s="33">
        <v>80000</v>
      </c>
      <c r="H9" s="33">
        <f>E9</f>
        <v>5018.0600000000004</v>
      </c>
      <c r="I9" s="33"/>
      <c r="J9" s="32"/>
      <c r="K9" s="32"/>
      <c r="L9" s="32"/>
      <c r="M9" s="32"/>
      <c r="O9" s="34">
        <f>17</f>
        <v>17</v>
      </c>
    </row>
    <row r="10" spans="1:25" s="34" customFormat="1" ht="45" x14ac:dyDescent="0.25">
      <c r="A10" s="32" t="s">
        <v>43</v>
      </c>
      <c r="B10" s="32" t="s">
        <v>45</v>
      </c>
      <c r="C10" s="35">
        <v>20</v>
      </c>
      <c r="D10" s="32">
        <v>363.53</v>
      </c>
      <c r="E10" s="33">
        <f>C10*D10</f>
        <v>7270.5999999999995</v>
      </c>
      <c r="F10" s="36" t="s">
        <v>44</v>
      </c>
      <c r="G10" s="33">
        <v>80000</v>
      </c>
      <c r="H10" s="33">
        <f>E10</f>
        <v>7270.5999999999995</v>
      </c>
      <c r="I10" s="33"/>
      <c r="J10" s="32"/>
      <c r="K10" s="32"/>
      <c r="L10" s="32"/>
      <c r="M10" s="32"/>
      <c r="N10" s="42">
        <f>SUM(H9:H10)</f>
        <v>12288.66</v>
      </c>
      <c r="O10" s="34">
        <f>20</f>
        <v>20</v>
      </c>
    </row>
    <row r="12" spans="1:25" s="34" customFormat="1" ht="51" customHeight="1" x14ac:dyDescent="0.25">
      <c r="A12" s="32" t="s">
        <v>49</v>
      </c>
      <c r="B12" s="32" t="s">
        <v>16</v>
      </c>
      <c r="C12" s="32" t="s">
        <v>50</v>
      </c>
      <c r="D12" s="32"/>
      <c r="E12" s="33"/>
      <c r="F12" s="33"/>
      <c r="G12" s="33"/>
      <c r="H12" s="33">
        <v>20000</v>
      </c>
      <c r="I12" s="33"/>
      <c r="J12" s="32"/>
      <c r="K12" s="32"/>
      <c r="L12" s="32"/>
      <c r="M12" s="32"/>
    </row>
    <row r="13" spans="1:25" s="34" customFormat="1" ht="45" x14ac:dyDescent="0.25">
      <c r="A13" s="32" t="s">
        <v>51</v>
      </c>
      <c r="B13" s="32" t="s">
        <v>39</v>
      </c>
      <c r="C13" s="35" t="s">
        <v>55</v>
      </c>
      <c r="D13" s="32">
        <v>295.18</v>
      </c>
      <c r="E13" s="33">
        <f>60*D13</f>
        <v>17710.8</v>
      </c>
      <c r="F13" s="36" t="s">
        <v>41</v>
      </c>
      <c r="G13" s="33"/>
      <c r="H13" s="33">
        <f>E13</f>
        <v>17710.8</v>
      </c>
      <c r="I13" s="33"/>
      <c r="J13" s="32"/>
      <c r="K13" s="32"/>
      <c r="L13" s="32"/>
      <c r="M13" s="32"/>
      <c r="O13" s="34">
        <f>17+20+23</f>
        <v>60</v>
      </c>
    </row>
    <row r="14" spans="1:25" s="34" customFormat="1" ht="45" x14ac:dyDescent="0.25">
      <c r="A14" s="32" t="s">
        <v>51</v>
      </c>
      <c r="B14" s="32" t="s">
        <v>45</v>
      </c>
      <c r="C14" s="35" t="s">
        <v>56</v>
      </c>
      <c r="D14" s="32">
        <v>363.53</v>
      </c>
      <c r="E14" s="33">
        <f>57*D14</f>
        <v>20721.21</v>
      </c>
      <c r="F14" s="36" t="s">
        <v>44</v>
      </c>
      <c r="G14" s="33"/>
      <c r="H14" s="33">
        <f>E14</f>
        <v>20721.21</v>
      </c>
      <c r="I14" s="33"/>
      <c r="J14" s="32"/>
      <c r="K14" s="32"/>
      <c r="L14" s="32"/>
      <c r="M14" s="32"/>
      <c r="N14" s="42">
        <f>SUM(H12:H14)</f>
        <v>58432.01</v>
      </c>
      <c r="O14" s="34">
        <f>17+20+20</f>
        <v>57</v>
      </c>
    </row>
    <row r="15" spans="1:25" ht="9" customHeight="1" x14ac:dyDescent="0.25">
      <c r="H15" s="26"/>
    </row>
    <row r="16" spans="1:25" s="34" customFormat="1" x14ac:dyDescent="0.25">
      <c r="B16" s="34" t="s">
        <v>57</v>
      </c>
      <c r="H16" s="42">
        <f>SUM(H6:H14)</f>
        <v>105988.93</v>
      </c>
    </row>
    <row r="17" spans="1:25" s="34" customFormat="1" ht="9" customHeight="1" x14ac:dyDescent="0.25"/>
    <row r="18" spans="1:25" s="34" customFormat="1" x14ac:dyDescent="0.25">
      <c r="B18" s="34" t="s">
        <v>58</v>
      </c>
      <c r="H18" s="43">
        <f>35268.65+12288.66+71692.69</f>
        <v>119250</v>
      </c>
    </row>
    <row r="19" spans="1:25" s="34" customFormat="1" x14ac:dyDescent="0.25">
      <c r="H19" s="43"/>
    </row>
    <row r="20" spans="1:25" s="44" customFormat="1" ht="30" x14ac:dyDescent="0.25">
      <c r="B20" s="44" t="s">
        <v>54</v>
      </c>
      <c r="H20" s="45">
        <f>H2-H18</f>
        <v>119250</v>
      </c>
    </row>
    <row r="22" spans="1:25" ht="18.600000000000001" customHeight="1" x14ac:dyDescent="0.25">
      <c r="A22" s="53" t="s">
        <v>0</v>
      </c>
      <c r="B22" s="53" t="s">
        <v>40</v>
      </c>
      <c r="C22" s="53" t="s">
        <v>1</v>
      </c>
      <c r="D22" s="54" t="s">
        <v>38</v>
      </c>
      <c r="E22" s="53" t="s">
        <v>2</v>
      </c>
      <c r="F22" s="53" t="s">
        <v>3</v>
      </c>
      <c r="G22" s="54" t="s">
        <v>4</v>
      </c>
      <c r="H22" s="54" t="s">
        <v>5</v>
      </c>
      <c r="I22" s="54" t="s">
        <v>6</v>
      </c>
      <c r="J22" s="54"/>
      <c r="K22" s="54" t="s">
        <v>7</v>
      </c>
      <c r="L22" s="54"/>
      <c r="M22" s="55" t="s">
        <v>8</v>
      </c>
      <c r="N22" s="29"/>
      <c r="O22" s="29"/>
      <c r="P22" s="29"/>
      <c r="Q22" s="29"/>
      <c r="R22" s="29"/>
      <c r="S22" s="29"/>
      <c r="T22" s="30"/>
      <c r="U22" s="30"/>
      <c r="V22" s="30"/>
      <c r="W22" s="30"/>
      <c r="X22" s="30"/>
      <c r="Y22" s="30"/>
    </row>
    <row r="23" spans="1:25" ht="23.45" customHeight="1" x14ac:dyDescent="0.25">
      <c r="A23" s="53"/>
      <c r="B23" s="53"/>
      <c r="C23" s="53"/>
      <c r="D23" s="54"/>
      <c r="E23" s="53"/>
      <c r="F23" s="53"/>
      <c r="G23" s="54"/>
      <c r="H23" s="54"/>
      <c r="I23" s="1" t="s">
        <v>9</v>
      </c>
      <c r="J23" s="1" t="s">
        <v>10</v>
      </c>
      <c r="K23" s="1" t="s">
        <v>11</v>
      </c>
      <c r="L23" s="1" t="s">
        <v>12</v>
      </c>
      <c r="M23" s="55"/>
      <c r="N23" s="29"/>
      <c r="O23" s="29"/>
      <c r="P23" s="29"/>
      <c r="Q23" s="29"/>
      <c r="R23" s="29"/>
      <c r="S23" s="29"/>
      <c r="T23" s="30"/>
      <c r="U23" s="30"/>
      <c r="V23" s="30"/>
      <c r="W23" s="30"/>
      <c r="X23" s="30"/>
      <c r="Y23" s="30"/>
    </row>
    <row r="24" spans="1:25" s="34" customFormat="1" ht="51" customHeight="1" x14ac:dyDescent="0.25">
      <c r="A24" s="32" t="s">
        <v>62</v>
      </c>
      <c r="B24" s="32" t="s">
        <v>16</v>
      </c>
      <c r="C24" s="32" t="s">
        <v>59</v>
      </c>
      <c r="D24" s="32"/>
      <c r="E24" s="33"/>
      <c r="F24" s="33"/>
      <c r="G24" s="33"/>
      <c r="H24" s="33">
        <v>20000</v>
      </c>
      <c r="I24" s="33"/>
      <c r="J24" s="32"/>
      <c r="K24" s="32"/>
      <c r="L24" s="32"/>
      <c r="M24" s="32"/>
    </row>
    <row r="25" spans="1:25" s="34" customFormat="1" ht="45" x14ac:dyDescent="0.25">
      <c r="A25" s="32" t="s">
        <v>62</v>
      </c>
      <c r="B25" s="32" t="s">
        <v>39</v>
      </c>
      <c r="C25" s="35" t="s">
        <v>60</v>
      </c>
      <c r="D25" s="32">
        <v>295.18</v>
      </c>
      <c r="E25" s="33">
        <f>28*D25</f>
        <v>8265.0400000000009</v>
      </c>
      <c r="F25" s="36" t="s">
        <v>41</v>
      </c>
      <c r="G25" s="33"/>
      <c r="H25" s="33">
        <f>E25</f>
        <v>8265.0400000000009</v>
      </c>
      <c r="I25" s="33"/>
      <c r="J25" s="32"/>
      <c r="K25" s="32"/>
      <c r="L25" s="32"/>
      <c r="M25" s="32"/>
      <c r="N25" s="42"/>
      <c r="O25" s="34">
        <v>6</v>
      </c>
    </row>
    <row r="26" spans="1:25" s="34" customFormat="1" ht="45" x14ac:dyDescent="0.25">
      <c r="A26" s="32" t="s">
        <v>62</v>
      </c>
      <c r="B26" s="32" t="s">
        <v>45</v>
      </c>
      <c r="C26" s="35" t="s">
        <v>60</v>
      </c>
      <c r="D26" s="32">
        <v>363.53</v>
      </c>
      <c r="E26" s="33">
        <f>28*D26</f>
        <v>10178.84</v>
      </c>
      <c r="F26" s="36" t="s">
        <v>44</v>
      </c>
      <c r="G26" s="33"/>
      <c r="H26" s="33">
        <f>E26</f>
        <v>10178.84</v>
      </c>
      <c r="I26" s="33"/>
      <c r="J26" s="32"/>
      <c r="K26" s="32"/>
      <c r="L26" s="32"/>
      <c r="M26" s="32"/>
      <c r="N26" s="42">
        <f>SUM(H24:H26)</f>
        <v>38443.880000000005</v>
      </c>
      <c r="O26" s="34">
        <v>22</v>
      </c>
    </row>
    <row r="27" spans="1:25" x14ac:dyDescent="0.25">
      <c r="H27" s="5"/>
      <c r="N27" s="5"/>
    </row>
    <row r="28" spans="1:25" s="34" customFormat="1" ht="51" customHeight="1" x14ac:dyDescent="0.25">
      <c r="A28" s="32" t="s">
        <v>63</v>
      </c>
      <c r="B28" s="32" t="s">
        <v>16</v>
      </c>
      <c r="C28" s="32" t="s">
        <v>61</v>
      </c>
      <c r="D28" s="32"/>
      <c r="E28" s="33"/>
      <c r="F28" s="33"/>
      <c r="G28" s="33"/>
      <c r="H28" s="33">
        <v>20000</v>
      </c>
      <c r="I28" s="33"/>
      <c r="J28" s="32"/>
      <c r="K28" s="32"/>
      <c r="L28" s="32"/>
      <c r="M28" s="32"/>
    </row>
    <row r="29" spans="1:25" s="34" customFormat="1" ht="45" x14ac:dyDescent="0.25">
      <c r="A29" s="32" t="s">
        <v>63</v>
      </c>
      <c r="B29" s="32" t="s">
        <v>39</v>
      </c>
      <c r="C29" s="35" t="s">
        <v>64</v>
      </c>
      <c r="D29" s="32">
        <v>295.18</v>
      </c>
      <c r="E29" s="33">
        <f>41*D29</f>
        <v>12102.380000000001</v>
      </c>
      <c r="F29" s="36" t="s">
        <v>41</v>
      </c>
      <c r="G29" s="33"/>
      <c r="H29" s="33">
        <f>E29</f>
        <v>12102.380000000001</v>
      </c>
      <c r="I29" s="33"/>
      <c r="J29" s="32"/>
      <c r="K29" s="32"/>
      <c r="L29" s="32"/>
      <c r="M29" s="32"/>
      <c r="O29" s="34">
        <f>23+18</f>
        <v>41</v>
      </c>
    </row>
    <row r="30" spans="1:25" s="34" customFormat="1" ht="45" x14ac:dyDescent="0.25">
      <c r="A30" s="32" t="s">
        <v>63</v>
      </c>
      <c r="B30" s="32" t="s">
        <v>45</v>
      </c>
      <c r="C30" s="35" t="s">
        <v>64</v>
      </c>
      <c r="D30" s="32">
        <v>363.53</v>
      </c>
      <c r="E30" s="33">
        <f>41*D30</f>
        <v>14904.73</v>
      </c>
      <c r="F30" s="36" t="s">
        <v>44</v>
      </c>
      <c r="G30" s="33"/>
      <c r="H30" s="33">
        <f>E30</f>
        <v>14904.73</v>
      </c>
      <c r="I30" s="33"/>
      <c r="J30" s="32"/>
      <c r="K30" s="32"/>
      <c r="L30" s="32"/>
      <c r="M30" s="32"/>
      <c r="N30" s="42">
        <f>SUM(H28:H30)</f>
        <v>47007.11</v>
      </c>
      <c r="O30" s="34">
        <v>22</v>
      </c>
    </row>
    <row r="32" spans="1:25" s="7" customFormat="1" ht="30" x14ac:dyDescent="0.25">
      <c r="B32" s="7" t="s">
        <v>65</v>
      </c>
      <c r="H32" s="46">
        <f>SUM(H24:H30)</f>
        <v>85450.99</v>
      </c>
      <c r="N32" s="46">
        <f>N14+N26+N30</f>
        <v>143883</v>
      </c>
    </row>
    <row r="33" spans="1:7" ht="15.75" thickBot="1" x14ac:dyDescent="0.3"/>
    <row r="34" spans="1:7" ht="24" thickBot="1" x14ac:dyDescent="0.3">
      <c r="B34" s="47" t="s">
        <v>66</v>
      </c>
      <c r="C34" s="48"/>
      <c r="D34" s="49">
        <v>105988.93</v>
      </c>
    </row>
    <row r="35" spans="1:7" ht="32.25" thickBot="1" x14ac:dyDescent="0.3">
      <c r="B35" s="47" t="s">
        <v>67</v>
      </c>
      <c r="C35" s="48"/>
      <c r="D35" s="50">
        <v>85450.99</v>
      </c>
    </row>
    <row r="36" spans="1:7" x14ac:dyDescent="0.25">
      <c r="D36" s="5">
        <f>D34+D35</f>
        <v>191439.91999999998</v>
      </c>
    </row>
    <row r="38" spans="1:7" x14ac:dyDescent="0.25">
      <c r="D38" s="5">
        <f>H2-119250</f>
        <v>119250</v>
      </c>
    </row>
    <row r="41" spans="1:7" x14ac:dyDescent="0.25">
      <c r="A41" s="3" t="s">
        <v>68</v>
      </c>
    </row>
    <row r="42" spans="1:7" x14ac:dyDescent="0.25">
      <c r="B42" s="3" t="s">
        <v>69</v>
      </c>
      <c r="C42" s="3" t="s">
        <v>72</v>
      </c>
      <c r="D42" s="5">
        <v>35268.65</v>
      </c>
      <c r="E42" s="57"/>
    </row>
    <row r="43" spans="1:7" x14ac:dyDescent="0.25">
      <c r="B43" s="3" t="s">
        <v>70</v>
      </c>
      <c r="C43" s="3" t="s">
        <v>71</v>
      </c>
      <c r="D43" s="5">
        <v>12288.66</v>
      </c>
      <c r="E43" s="57"/>
    </row>
    <row r="44" spans="1:7" x14ac:dyDescent="0.25">
      <c r="B44" s="3" t="s">
        <v>73</v>
      </c>
      <c r="C44" s="3" t="s">
        <v>74</v>
      </c>
      <c r="D44" s="5">
        <v>71692.69</v>
      </c>
      <c r="E44" s="57"/>
      <c r="F44" s="5">
        <f>SUM(D42:D44)</f>
        <v>119250</v>
      </c>
      <c r="G44" s="3" t="s">
        <v>77</v>
      </c>
    </row>
    <row r="45" spans="1:7" x14ac:dyDescent="0.25">
      <c r="B45" s="3" t="s">
        <v>75</v>
      </c>
      <c r="C45" s="3" t="s">
        <v>76</v>
      </c>
      <c r="D45" s="5">
        <v>23850</v>
      </c>
      <c r="F45" s="5">
        <f>F44/5</f>
        <v>23850</v>
      </c>
    </row>
    <row r="46" spans="1:7" x14ac:dyDescent="0.25">
      <c r="B46" s="3" t="s">
        <v>80</v>
      </c>
      <c r="C46" s="3" t="s">
        <v>78</v>
      </c>
      <c r="D46" s="5">
        <v>23850</v>
      </c>
    </row>
    <row r="47" spans="1:7" x14ac:dyDescent="0.25">
      <c r="B47" s="3" t="s">
        <v>80</v>
      </c>
      <c r="C47" s="3" t="s">
        <v>79</v>
      </c>
      <c r="D47" s="5">
        <v>23850</v>
      </c>
    </row>
    <row r="48" spans="1:7" x14ac:dyDescent="0.25">
      <c r="B48" s="3" t="s">
        <v>80</v>
      </c>
      <c r="C48" s="3" t="s">
        <v>81</v>
      </c>
      <c r="D48" s="5">
        <v>23850</v>
      </c>
    </row>
    <row r="49" spans="2:6" x14ac:dyDescent="0.25">
      <c r="B49" s="3" t="s">
        <v>80</v>
      </c>
      <c r="C49" s="3" t="s">
        <v>82</v>
      </c>
      <c r="D49" s="5">
        <v>23850</v>
      </c>
      <c r="F49" s="5">
        <f>SUM(D45:D49)</f>
        <v>119250</v>
      </c>
    </row>
  </sheetData>
  <mergeCells count="23">
    <mergeCell ref="M22:M23"/>
    <mergeCell ref="F22:F23"/>
    <mergeCell ref="G22:G23"/>
    <mergeCell ref="H22:H23"/>
    <mergeCell ref="I22:J22"/>
    <mergeCell ref="K22:L22"/>
    <mergeCell ref="A22:A23"/>
    <mergeCell ref="B22:B23"/>
    <mergeCell ref="C22:C23"/>
    <mergeCell ref="D22:D23"/>
    <mergeCell ref="E22:E23"/>
    <mergeCell ref="F4:F5"/>
    <mergeCell ref="A2:F2"/>
    <mergeCell ref="A4:A5"/>
    <mergeCell ref="B4:B5"/>
    <mergeCell ref="C4:C5"/>
    <mergeCell ref="D4:D5"/>
    <mergeCell ref="E4:E5"/>
    <mergeCell ref="M4:M5"/>
    <mergeCell ref="G4:G5"/>
    <mergeCell ref="H4:H5"/>
    <mergeCell ref="I4:J4"/>
    <mergeCell ref="K4:L4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EBDE-7439-4EF2-B8CB-EA375A6BD141}">
  <dimension ref="A1:I25"/>
  <sheetViews>
    <sheetView topLeftCell="A3" workbookViewId="0">
      <selection activeCell="C7" sqref="C7"/>
    </sheetView>
  </sheetViews>
  <sheetFormatPr defaultColWidth="11.42578125" defaultRowHeight="15" x14ac:dyDescent="0.25"/>
  <cols>
    <col min="1" max="1" width="11.42578125" style="3"/>
    <col min="2" max="2" width="40.85546875" style="3" customWidth="1"/>
    <col min="3" max="3" width="20.42578125" style="3" customWidth="1"/>
    <col min="4" max="4" width="19.42578125" style="3" customWidth="1"/>
    <col min="5" max="5" width="18.28515625" style="3" customWidth="1"/>
    <col min="6" max="6" width="19.7109375" style="3" customWidth="1"/>
    <col min="7" max="7" width="19.42578125" style="3" customWidth="1"/>
    <col min="8" max="8" width="14.7109375" style="3" customWidth="1"/>
    <col min="9" max="9" width="11.42578125" style="3"/>
    <col min="10" max="10" width="16.28515625" style="3" customWidth="1"/>
    <col min="11" max="16384" width="11.42578125" style="3"/>
  </cols>
  <sheetData>
    <row r="1" spans="1:9" ht="16.5" customHeight="1" x14ac:dyDescent="0.25">
      <c r="H1" s="26"/>
    </row>
    <row r="2" spans="1:9" ht="15.75" x14ac:dyDescent="0.25">
      <c r="A2" s="3" t="s">
        <v>13</v>
      </c>
      <c r="B2" s="2" t="s">
        <v>14</v>
      </c>
    </row>
    <row r="3" spans="1:9" ht="15.75" thickBot="1" x14ac:dyDescent="0.3"/>
    <row r="4" spans="1:9" ht="60.75" thickBot="1" x14ac:dyDescent="0.3">
      <c r="B4" s="18" t="s">
        <v>15</v>
      </c>
      <c r="C4" s="19" t="s">
        <v>16</v>
      </c>
      <c r="D4" s="28" t="s">
        <v>17</v>
      </c>
      <c r="E4" s="20" t="s">
        <v>18</v>
      </c>
    </row>
    <row r="5" spans="1:9" x14ac:dyDescent="0.25">
      <c r="B5" s="15" t="s">
        <v>19</v>
      </c>
      <c r="C5" s="23" t="s">
        <v>20</v>
      </c>
      <c r="D5" s="27" t="s">
        <v>20</v>
      </c>
      <c r="E5" s="17"/>
      <c r="G5" s="5"/>
      <c r="H5" s="5"/>
    </row>
    <row r="6" spans="1:9" x14ac:dyDescent="0.25">
      <c r="B6" s="8" t="s">
        <v>21</v>
      </c>
      <c r="C6" s="6">
        <v>0.5</v>
      </c>
      <c r="D6" s="6">
        <v>1</v>
      </c>
      <c r="E6" s="9"/>
    </row>
    <row r="7" spans="1:9" ht="30" x14ac:dyDescent="0.25">
      <c r="B7" s="8" t="s">
        <v>22</v>
      </c>
      <c r="C7" s="22">
        <f>80000/218</f>
        <v>366.97247706422019</v>
      </c>
      <c r="D7" s="22">
        <f>79250/218</f>
        <v>363.53211009174311</v>
      </c>
      <c r="E7" s="9"/>
      <c r="G7" s="26"/>
    </row>
    <row r="8" spans="1:9" ht="15.75" x14ac:dyDescent="0.25">
      <c r="B8" s="8" t="s">
        <v>23</v>
      </c>
      <c r="C8" s="16">
        <v>80000</v>
      </c>
      <c r="D8" s="22">
        <f>158500/2</f>
        <v>79250</v>
      </c>
      <c r="E8" s="14">
        <f>SUM(C8:D8)</f>
        <v>159250</v>
      </c>
      <c r="G8" s="5"/>
      <c r="H8" s="25"/>
    </row>
    <row r="9" spans="1:9" ht="15.75" thickBot="1" x14ac:dyDescent="0.3">
      <c r="B9" s="10"/>
      <c r="C9" s="11"/>
      <c r="D9" s="11"/>
      <c r="E9" s="12"/>
      <c r="G9" s="5"/>
    </row>
    <row r="10" spans="1:9" ht="15.75" thickBot="1" x14ac:dyDescent="0.3">
      <c r="H10" s="26"/>
    </row>
    <row r="11" spans="1:9" ht="75.75" thickBot="1" x14ac:dyDescent="0.3">
      <c r="B11" s="18" t="s">
        <v>15</v>
      </c>
      <c r="C11" s="28" t="s">
        <v>24</v>
      </c>
      <c r="D11" s="28" t="s">
        <v>25</v>
      </c>
      <c r="E11" s="28" t="s">
        <v>26</v>
      </c>
      <c r="F11" s="20" t="s">
        <v>18</v>
      </c>
    </row>
    <row r="12" spans="1:9" x14ac:dyDescent="0.25">
      <c r="B12" s="15" t="s">
        <v>19</v>
      </c>
      <c r="C12" s="27" t="s">
        <v>20</v>
      </c>
      <c r="D12" s="23" t="s">
        <v>27</v>
      </c>
      <c r="E12" s="23" t="s">
        <v>27</v>
      </c>
      <c r="F12" s="17"/>
      <c r="H12" s="5"/>
      <c r="I12" s="5"/>
    </row>
    <row r="13" spans="1:9" x14ac:dyDescent="0.25">
      <c r="B13" s="8" t="s">
        <v>21</v>
      </c>
      <c r="C13" s="6">
        <v>1</v>
      </c>
      <c r="D13" s="6">
        <v>1</v>
      </c>
      <c r="E13" s="6">
        <v>1</v>
      </c>
      <c r="F13" s="9"/>
    </row>
    <row r="14" spans="1:9" ht="30" x14ac:dyDescent="0.25">
      <c r="B14" s="8" t="s">
        <v>22</v>
      </c>
      <c r="C14" s="22">
        <f>79250/218</f>
        <v>363.53211009174311</v>
      </c>
      <c r="D14" s="16">
        <f>64350/218</f>
        <v>295.18348623853211</v>
      </c>
      <c r="E14" s="16">
        <f>64350/218</f>
        <v>295.18348623853211</v>
      </c>
      <c r="F14" s="9"/>
      <c r="H14" s="26"/>
    </row>
    <row r="15" spans="1:9" ht="15.75" x14ac:dyDescent="0.25">
      <c r="B15" s="8" t="s">
        <v>23</v>
      </c>
      <c r="C15" s="22">
        <f>158500/2</f>
        <v>79250</v>
      </c>
      <c r="D15" s="16">
        <f>128700/2</f>
        <v>64350</v>
      </c>
      <c r="E15" s="16">
        <f>128700/2</f>
        <v>64350</v>
      </c>
      <c r="F15" s="14">
        <f>SUM(C15:E15)</f>
        <v>207950</v>
      </c>
      <c r="G15" s="5">
        <f>F15+E8</f>
        <v>367200</v>
      </c>
      <c r="H15" s="5"/>
      <c r="I15" s="25"/>
    </row>
    <row r="16" spans="1:9" ht="15.75" thickBot="1" x14ac:dyDescent="0.3">
      <c r="B16" s="10"/>
      <c r="C16" s="11"/>
      <c r="D16" s="11"/>
      <c r="E16" s="11"/>
      <c r="F16" s="12"/>
      <c r="H16" s="5"/>
    </row>
    <row r="17" spans="2:8" ht="16.5" customHeight="1" x14ac:dyDescent="0.25">
      <c r="H17" s="26"/>
    </row>
    <row r="18" spans="2:8" s="7" customFormat="1" ht="15.75" x14ac:dyDescent="0.25">
      <c r="B18" s="56" t="s">
        <v>28</v>
      </c>
      <c r="C18" s="56"/>
      <c r="D18" s="56"/>
      <c r="E18" s="56"/>
    </row>
    <row r="19" spans="2:8" ht="15.75" thickBot="1" x14ac:dyDescent="0.3"/>
    <row r="20" spans="2:8" ht="45.75" thickBot="1" x14ac:dyDescent="0.3">
      <c r="B20" s="21" t="s">
        <v>15</v>
      </c>
      <c r="C20" s="19" t="s">
        <v>29</v>
      </c>
      <c r="D20" s="19" t="s">
        <v>30</v>
      </c>
      <c r="E20" s="24" t="s">
        <v>31</v>
      </c>
    </row>
    <row r="21" spans="2:8" x14ac:dyDescent="0.25">
      <c r="B21" s="15" t="s">
        <v>32</v>
      </c>
      <c r="C21" s="23" t="s">
        <v>33</v>
      </c>
      <c r="D21" s="23" t="s">
        <v>33</v>
      </c>
      <c r="E21" s="17"/>
    </row>
    <row r="22" spans="2:8" x14ac:dyDescent="0.25">
      <c r="B22" s="8" t="s">
        <v>21</v>
      </c>
      <c r="C22" s="6">
        <v>1</v>
      </c>
      <c r="D22" s="6">
        <v>1</v>
      </c>
      <c r="E22" s="9"/>
    </row>
    <row r="23" spans="2:8" x14ac:dyDescent="0.25">
      <c r="B23" s="8" t="s">
        <v>34</v>
      </c>
      <c r="C23" s="4">
        <v>0</v>
      </c>
      <c r="D23" s="4">
        <v>0</v>
      </c>
      <c r="E23" s="9"/>
    </row>
    <row r="24" spans="2:8" x14ac:dyDescent="0.25">
      <c r="B24" s="8"/>
      <c r="C24" s="4"/>
      <c r="D24" s="4"/>
      <c r="E24" s="9"/>
      <c r="G24" s="5"/>
    </row>
    <row r="25" spans="2:8" ht="15.75" thickBot="1" x14ac:dyDescent="0.3">
      <c r="B25" s="10" t="s">
        <v>35</v>
      </c>
      <c r="C25" s="11"/>
      <c r="D25" s="11"/>
      <c r="E25" s="13"/>
    </row>
  </sheetData>
  <mergeCells count="1">
    <mergeCell ref="B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 NON</vt:lpstr>
      <vt:lpstr>Foglio1 OK</vt:lpstr>
      <vt:lpstr>Fixed cost exF+50% Transv</vt:lpstr>
      <vt:lpstr>'Foglio NON'!Area_stampa</vt:lpstr>
      <vt:lpstr>'Foglio1 OK'!Area_stampa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cp:lastPrinted>2025-05-02T08:37:23Z</cp:lastPrinted>
  <dcterms:created xsi:type="dcterms:W3CDTF">2025-03-23T15:46:49Z</dcterms:created>
  <dcterms:modified xsi:type="dcterms:W3CDTF">2025-07-24T08:16:10Z</dcterms:modified>
</cp:coreProperties>
</file>