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ndivisa\KOINE ACADEMY MATERIALE\03 INCONTRI SETTIMANALI\CONTI\"/>
    </mc:Choice>
  </mc:AlternateContent>
  <xr:revisionPtr revIDLastSave="0" documentId="13_ncr:1_{01AF577E-B9FC-442C-B1F4-D048C140453E}" xr6:coauthVersionLast="47" xr6:coauthVersionMax="47" xr10:uidLastSave="{00000000-0000-0000-0000-000000000000}"/>
  <bookViews>
    <workbookView xWindow="1275" yWindow="6030" windowWidth="22005" windowHeight="12630" xr2:uid="{02F4AEDC-2386-46CC-9032-867A73B3E500}"/>
  </bookViews>
  <sheets>
    <sheet name="Foglio1" sheetId="1" r:id="rId1"/>
    <sheet name="Fixed cost exF+50% Transv" sheetId="2" r:id="rId2"/>
  </sheets>
  <definedNames>
    <definedName name="_xlnm.Print_Area" localSheetId="0">Foglio1!$A$1:$H$12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D45" i="1"/>
  <c r="G27" i="1"/>
  <c r="E24" i="1"/>
  <c r="I24" i="1"/>
  <c r="E10" i="1"/>
  <c r="G63" i="1"/>
  <c r="D40" i="1"/>
  <c r="E25" i="1"/>
  <c r="G25" i="1" s="1"/>
  <c r="I25" i="1"/>
  <c r="D59" i="1"/>
  <c r="I20" i="1"/>
  <c r="E20" i="1"/>
  <c r="E21" i="1"/>
  <c r="I21" i="1"/>
  <c r="E15" i="1" l="1"/>
  <c r="G15" i="1" s="1"/>
  <c r="I15" i="1"/>
  <c r="K28" i="1" s="1"/>
  <c r="E14" i="1"/>
  <c r="G14" i="1" s="1"/>
  <c r="I14" i="1"/>
  <c r="I10" i="1" l="1"/>
  <c r="E7" i="1"/>
  <c r="I7" i="1"/>
  <c r="E8" i="1"/>
  <c r="G8" i="1" s="1"/>
  <c r="C81" i="1"/>
  <c r="G24" i="1"/>
  <c r="G10" i="1"/>
  <c r="E11" i="1"/>
  <c r="G11" i="1" s="1"/>
  <c r="K27" i="1" l="1"/>
  <c r="I27" i="1"/>
  <c r="C75" i="1"/>
  <c r="C85" i="1" s="1"/>
  <c r="D63" i="1" s="1"/>
  <c r="G21" i="1"/>
  <c r="G20" i="1"/>
  <c r="G21" i="2"/>
  <c r="C21" i="2"/>
  <c r="E22" i="2"/>
  <c r="D22" i="2"/>
  <c r="F22" i="2"/>
  <c r="E21" i="2"/>
  <c r="D21" i="2"/>
  <c r="C14" i="2"/>
  <c r="G7" i="1"/>
  <c r="D62" i="1" s="1"/>
  <c r="D8" i="2"/>
  <c r="D7" i="2"/>
  <c r="C7" i="2"/>
  <c r="E15" i="2" l="1"/>
  <c r="G22" i="2" s="1"/>
  <c r="D15" i="2"/>
  <c r="C15" i="2"/>
  <c r="F15" i="2" s="1"/>
  <c r="E14" i="2"/>
  <c r="D14" i="2"/>
  <c r="E8" i="2"/>
  <c r="G15" i="2" l="1"/>
  <c r="D64" i="1" l="1"/>
  <c r="D68" i="1" l="1"/>
  <c r="D66" i="1"/>
</calcChain>
</file>

<file path=xl/sharedStrings.xml><?xml version="1.0" encoding="utf-8"?>
<sst xmlns="http://schemas.openxmlformats.org/spreadsheetml/2006/main" count="157" uniqueCount="88">
  <si>
    <t>Month</t>
  </si>
  <si>
    <t xml:space="preserve">DAYS </t>
  </si>
  <si>
    <t>TOTAL</t>
  </si>
  <si>
    <t>MANAGER</t>
  </si>
  <si>
    <r>
      <t xml:space="preserve">PRICE </t>
    </r>
    <r>
      <rPr>
        <sz val="10"/>
        <rFont val="Aptos Narrow"/>
        <family val="2"/>
        <scheme val="minor"/>
      </rPr>
      <t>(€)</t>
    </r>
  </si>
  <si>
    <t xml:space="preserve"> </t>
  </si>
  <si>
    <t xml:space="preserve">GLOBAL PROGRAM OFFICE </t>
  </si>
  <si>
    <t>Job Title</t>
  </si>
  <si>
    <t>GOVERNANCE ACCOUNT MANAGEMENT ACTIVITY</t>
  </si>
  <si>
    <t>1 SENIOR PROJECT MANAGEMENT ACTIVITY</t>
  </si>
  <si>
    <t>Total</t>
  </si>
  <si>
    <t xml:space="preserve">Customer Facing (Yes) </t>
  </si>
  <si>
    <t>Yes</t>
  </si>
  <si>
    <t xml:space="preserve">Full Time Equivalent % </t>
  </si>
  <si>
    <t>Cost  per person per day
 (on the basis of 218 working days)</t>
  </si>
  <si>
    <t>Fixed Cost  Total</t>
  </si>
  <si>
    <t>SENIOR PROJECT MANAGEMENT ACTIVITY - OPTIONAL</t>
  </si>
  <si>
    <t xml:space="preserve">1 JUNIOR TRAINING SPECIALIST ACTIVITY - OPTIONAl </t>
  </si>
  <si>
    <t>1 JUNIOR TRAINING SPECIALIST ACTIVITY - OPTIONAL</t>
  </si>
  <si>
    <t xml:space="preserve">Yes </t>
  </si>
  <si>
    <t>SUPPORTING ROLES Included in deliverables cost</t>
  </si>
  <si>
    <t>4 PROJECT MANAGERS (COORDINATORS)</t>
  </si>
  <si>
    <t>AGENCY INTERNAL EXPERT</t>
  </si>
  <si>
    <t>3rd PARTY EXPERTS</t>
  </si>
  <si>
    <t xml:space="preserve">Customer Facing ( Yes) </t>
  </si>
  <si>
    <t>yes</t>
  </si>
  <si>
    <t xml:space="preserve">Total  Cost  Fixed </t>
  </si>
  <si>
    <t>If needed ; Variable Cost per day</t>
  </si>
  <si>
    <t>January-February-March</t>
  </si>
  <si>
    <t>1st quarter 2025</t>
  </si>
  <si>
    <t>COST X DAY (€)</t>
  </si>
  <si>
    <t>ACTIVITY</t>
  </si>
  <si>
    <t>D'Aquino</t>
  </si>
  <si>
    <t>Purchase order 31381147:  Ex F Product training development - Fixe</t>
  </si>
  <si>
    <t>April</t>
  </si>
  <si>
    <t>Barbirato</t>
  </si>
  <si>
    <t>SENIOR PROJECT MANAGEMENT ACTIVITY
(Stefano Genovesio)</t>
  </si>
  <si>
    <t>KOINE 013/2025 March</t>
  </si>
  <si>
    <t>KOINE 015/2025 April</t>
  </si>
  <si>
    <t>KOINE 019/2025 May-June</t>
  </si>
  <si>
    <t>April May June</t>
  </si>
  <si>
    <t>2st quarter 2025</t>
  </si>
  <si>
    <t>May - June - july</t>
  </si>
  <si>
    <t>KOINE 024/2025 Sept</t>
  </si>
  <si>
    <t>3rd quarter 2025</t>
  </si>
  <si>
    <t>October- November-December</t>
  </si>
  <si>
    <t>July- August-September</t>
  </si>
  <si>
    <t>August-September</t>
  </si>
  <si>
    <t>SENIOR PROJECT MANAGEMENT ACTIVITY - 2</t>
  </si>
  <si>
    <t>??</t>
  </si>
  <si>
    <t>Invoices issued by Koinè</t>
  </si>
  <si>
    <t>HOTEL</t>
  </si>
  <si>
    <t>Invoice issued</t>
  </si>
  <si>
    <t>Invoice to be issued</t>
  </si>
  <si>
    <t>Cena</t>
  </si>
  <si>
    <t>Train</t>
  </si>
  <si>
    <t>Hotel</t>
  </si>
  <si>
    <t>deca</t>
  </si>
  <si>
    <t>March</t>
  </si>
  <si>
    <t>4+20+21</t>
  </si>
  <si>
    <t>20+20+23</t>
  </si>
  <si>
    <t>20+20+20</t>
  </si>
  <si>
    <t>11+21</t>
  </si>
  <si>
    <t>crivellati</t>
  </si>
  <si>
    <t>genovesio</t>
  </si>
  <si>
    <t>Cena Bigi</t>
  </si>
  <si>
    <t xml:space="preserve">CRIVELLARI FRANCE </t>
  </si>
  <si>
    <t xml:space="preserve">CRIVELLARI ROME </t>
  </si>
  <si>
    <t>flight</t>
  </si>
  <si>
    <t>AMOUNT</t>
  </si>
  <si>
    <t>Total resources of the year</t>
  </si>
  <si>
    <t>Sundry expenses</t>
  </si>
  <si>
    <t>Total amount</t>
  </si>
  <si>
    <t>Remaining amount  of the order</t>
  </si>
  <si>
    <t>KOINE 021/2025 August</t>
  </si>
  <si>
    <t>KOINE 025/2025 Oct</t>
  </si>
  <si>
    <t>23+20</t>
  </si>
  <si>
    <t>JUNIOR PROJECT MANAGEMENT ACTIVITY
(Lavinia Crivellari)</t>
  </si>
  <si>
    <t>JUNIOR  PROJECT MANAGEMENT ACTIVITY
(Lavinia Crivellari)</t>
  </si>
  <si>
    <t>A renzo e dario</t>
  </si>
  <si>
    <t>A Frederic</t>
  </si>
  <si>
    <t>mettere + alavinia</t>
  </si>
  <si>
    <t>aggiunte 3 gg</t>
  </si>
  <si>
    <t>aggiunte 4 ogg</t>
  </si>
  <si>
    <t>23+20+20</t>
  </si>
  <si>
    <t>Total expenses for resources of the year</t>
  </si>
  <si>
    <t>Remaining amount  to be invoiced by Koinè</t>
  </si>
  <si>
    <t>Remaining  order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</si>
</sst>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1"/>
      <name val="Calibri"/>
      <family val="2"/>
    </font>
    <font>
      <b/>
      <sz val="12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000000"/>
      </bottom>
      <diagonal/>
    </border>
    <border>
      <left style="medium">
        <color rgb="FFFFFFFF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4" fontId="0" fillId="0" borderId="0" xfId="0" applyNumberFormat="1" applyAlignment="1">
      <alignment wrapText="1"/>
    </xf>
    <xf numFmtId="9" fontId="0" fillId="0" borderId="1" xfId="0" applyNumberFormat="1" applyBorder="1" applyAlignment="1">
      <alignment wrapText="1"/>
    </xf>
    <xf numFmtId="0" fontId="6" fillId="0" borderId="0" xfId="0" applyFont="1" applyAlignment="1">
      <alignment wrapText="1"/>
    </xf>
    <xf numFmtId="0" fontId="0" fillId="0" borderId="7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6" xfId="0" applyBorder="1" applyAlignment="1">
      <alignment wrapText="1"/>
    </xf>
    <xf numFmtId="4" fontId="0" fillId="0" borderId="9" xfId="0" applyNumberFormat="1" applyBorder="1" applyAlignment="1">
      <alignment wrapText="1"/>
    </xf>
    <xf numFmtId="0" fontId="0" fillId="0" borderId="9" xfId="0" applyBorder="1" applyAlignment="1">
      <alignment wrapText="1"/>
    </xf>
    <xf numFmtId="4" fontId="7" fillId="0" borderId="4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0" borderId="5" xfId="0" applyNumberForma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wrapText="1"/>
    </xf>
    <xf numFmtId="4" fontId="8" fillId="0" borderId="2" xfId="0" applyNumberFormat="1" applyFont="1" applyBorder="1" applyAlignment="1">
      <alignment wrapText="1"/>
    </xf>
    <xf numFmtId="4" fontId="0" fillId="0" borderId="2" xfId="0" applyNumberForma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9" fontId="0" fillId="0" borderId="0" xfId="0" applyNumberFormat="1" applyAlignment="1">
      <alignment wrapText="1"/>
    </xf>
    <xf numFmtId="4" fontId="5" fillId="0" borderId="0" xfId="0" applyNumberFormat="1" applyFont="1" applyAlignment="1">
      <alignment wrapText="1"/>
    </xf>
    <xf numFmtId="4" fontId="8" fillId="0" borderId="2" xfId="0" applyNumberFormat="1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4" borderId="0" xfId="0" applyFill="1" applyAlignment="1">
      <alignment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6" fillId="4" borderId="0" xfId="0" applyFont="1" applyFill="1" applyAlignment="1">
      <alignment wrapText="1"/>
    </xf>
    <xf numFmtId="4" fontId="6" fillId="4" borderId="0" xfId="0" applyNumberFormat="1" applyFont="1" applyFill="1" applyAlignment="1">
      <alignment wrapText="1"/>
    </xf>
    <xf numFmtId="0" fontId="0" fillId="0" borderId="13" xfId="0" applyBorder="1" applyAlignment="1">
      <alignment wrapText="1"/>
    </xf>
    <xf numFmtId="4" fontId="0" fillId="0" borderId="13" xfId="0" applyNumberFormat="1" applyBorder="1" applyAlignment="1">
      <alignment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" fontId="0" fillId="0" borderId="0" xfId="0" applyNumberFormat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11" fillId="5" borderId="14" xfId="0" applyFont="1" applyFill="1" applyBorder="1" applyAlignment="1">
      <alignment horizontal="left" vertical="top" wrapText="1" readingOrder="1"/>
    </xf>
    <xf numFmtId="0" fontId="12" fillId="5" borderId="14" xfId="0" applyFont="1" applyFill="1" applyBorder="1" applyAlignment="1">
      <alignment vertical="top" wrapText="1"/>
    </xf>
    <xf numFmtId="4" fontId="11" fillId="5" borderId="14" xfId="0" applyNumberFormat="1" applyFont="1" applyFill="1" applyBorder="1" applyAlignment="1">
      <alignment horizontal="right" vertical="top" wrapText="1" readingOrder="1"/>
    </xf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9" fontId="0" fillId="6" borderId="1" xfId="0" applyNumberFormat="1" applyFill="1" applyBorder="1" applyAlignment="1">
      <alignment wrapText="1"/>
    </xf>
    <xf numFmtId="4" fontId="8" fillId="6" borderId="2" xfId="0" applyNumberFormat="1" applyFont="1" applyFill="1" applyBorder="1" applyAlignment="1">
      <alignment wrapText="1"/>
    </xf>
    <xf numFmtId="0" fontId="0" fillId="6" borderId="6" xfId="0" applyFill="1" applyBorder="1" applyAlignment="1">
      <alignment wrapText="1"/>
    </xf>
    <xf numFmtId="4" fontId="13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9" fillId="0" borderId="0" xfId="0" applyFont="1" applyAlignment="1">
      <alignment wrapText="1"/>
    </xf>
    <xf numFmtId="4" fontId="9" fillId="0" borderId="0" xfId="0" applyNumberFormat="1" applyFont="1" applyAlignment="1">
      <alignment wrapText="1"/>
    </xf>
    <xf numFmtId="4" fontId="15" fillId="0" borderId="0" xfId="0" applyNumberFormat="1" applyFont="1" applyAlignment="1">
      <alignment vertical="top"/>
    </xf>
    <xf numFmtId="4" fontId="6" fillId="0" borderId="0" xfId="0" applyNumberFormat="1" applyFont="1" applyAlignment="1">
      <alignment wrapText="1"/>
    </xf>
    <xf numFmtId="4" fontId="16" fillId="0" borderId="0" xfId="0" applyNumberFormat="1" applyFont="1" applyAlignment="1">
      <alignment wrapText="1"/>
    </xf>
    <xf numFmtId="0" fontId="17" fillId="0" borderId="0" xfId="0" applyFont="1" applyAlignment="1">
      <alignment wrapText="1"/>
    </xf>
    <xf numFmtId="2" fontId="0" fillId="0" borderId="0" xfId="0" applyNumberFormat="1" applyAlignment="1">
      <alignment wrapText="1"/>
    </xf>
    <xf numFmtId="2" fontId="0" fillId="0" borderId="13" xfId="0" applyNumberFormat="1" applyBorder="1" applyAlignment="1">
      <alignment wrapText="1"/>
    </xf>
    <xf numFmtId="2" fontId="6" fillId="0" borderId="0" xfId="0" applyNumberFormat="1" applyFont="1" applyAlignment="1">
      <alignment wrapText="1"/>
    </xf>
    <xf numFmtId="4" fontId="9" fillId="0" borderId="13" xfId="0" applyNumberFormat="1" applyFont="1" applyBorder="1" applyAlignment="1">
      <alignment wrapText="1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vertical="top"/>
    </xf>
    <xf numFmtId="4" fontId="18" fillId="0" borderId="0" xfId="0" applyNumberFormat="1" applyFont="1" applyAlignment="1">
      <alignment vertical="top"/>
    </xf>
    <xf numFmtId="0" fontId="19" fillId="5" borderId="15" xfId="0" applyFont="1" applyFill="1" applyBorder="1" applyAlignment="1">
      <alignment horizontal="left" vertical="top" wrapText="1" readingOrder="1"/>
    </xf>
    <xf numFmtId="4" fontId="19" fillId="5" borderId="15" xfId="0" applyNumberFormat="1" applyFont="1" applyFill="1" applyBorder="1" applyAlignment="1">
      <alignment horizontal="right" vertical="top" wrapText="1" readingOrder="1"/>
    </xf>
    <xf numFmtId="0" fontId="19" fillId="5" borderId="16" xfId="0" applyFont="1" applyFill="1" applyBorder="1" applyAlignment="1">
      <alignment horizontal="left" vertical="top" wrapText="1" readingOrder="1"/>
    </xf>
    <xf numFmtId="4" fontId="19" fillId="5" borderId="0" xfId="0" applyNumberFormat="1" applyFont="1" applyFill="1" applyAlignment="1">
      <alignment horizontal="right" vertical="top" wrapText="1" readingOrder="1"/>
    </xf>
    <xf numFmtId="4" fontId="19" fillId="5" borderId="17" xfId="0" applyNumberFormat="1" applyFont="1" applyFill="1" applyBorder="1" applyAlignment="1">
      <alignment horizontal="right" vertical="top" wrapText="1" readingOrder="1"/>
    </xf>
    <xf numFmtId="4" fontId="17" fillId="0" borderId="0" xfId="0" applyNumberFormat="1" applyFont="1" applyAlignment="1">
      <alignment wrapText="1"/>
    </xf>
    <xf numFmtId="0" fontId="1" fillId="3" borderId="1" xfId="0" applyFont="1" applyFill="1" applyBorder="1" applyAlignment="1">
      <alignment horizontal="center" vertical="top" wrapText="1"/>
    </xf>
    <xf numFmtId="0" fontId="19" fillId="5" borderId="15" xfId="0" applyFont="1" applyFill="1" applyBorder="1" applyAlignment="1">
      <alignment vertical="top" wrapText="1"/>
    </xf>
    <xf numFmtId="0" fontId="19" fillId="5" borderId="18" xfId="0" applyFont="1" applyFill="1" applyBorder="1" applyAlignment="1">
      <alignment vertical="top" wrapText="1"/>
    </xf>
    <xf numFmtId="0" fontId="19" fillId="5" borderId="16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F9CE1-0212-4EA3-8DF3-6185CA16FDEB}">
  <sheetPr>
    <pageSetUpPr fitToPage="1"/>
  </sheetPr>
  <dimension ref="A1:S85"/>
  <sheetViews>
    <sheetView tabSelected="1" topLeftCell="A29" zoomScale="83" zoomScaleNormal="83" workbookViewId="0">
      <selection activeCell="F44" sqref="F44"/>
    </sheetView>
  </sheetViews>
  <sheetFormatPr defaultColWidth="8.85546875" defaultRowHeight="15" x14ac:dyDescent="0.25"/>
  <cols>
    <col min="1" max="1" width="21.140625" style="2" customWidth="1"/>
    <col min="2" max="2" width="38.42578125" style="2" customWidth="1"/>
    <col min="3" max="3" width="17.7109375" style="2" customWidth="1"/>
    <col min="4" max="4" width="16.7109375" style="2" customWidth="1"/>
    <col min="5" max="5" width="11.7109375" style="2" customWidth="1"/>
    <col min="6" max="6" width="13.7109375" style="2" customWidth="1"/>
    <col min="7" max="7" width="22.5703125" style="2" customWidth="1"/>
    <col min="8" max="8" width="8.85546875" style="2"/>
    <col min="9" max="9" width="16.42578125" style="2" customWidth="1"/>
    <col min="10" max="10" width="18" style="2" customWidth="1"/>
    <col min="11" max="16384" width="8.85546875" style="2"/>
  </cols>
  <sheetData>
    <row r="1" spans="1:19" x14ac:dyDescent="0.25">
      <c r="J1" s="2" t="s">
        <v>57</v>
      </c>
    </row>
    <row r="2" spans="1:19" s="36" customFormat="1" x14ac:dyDescent="0.25">
      <c r="A2" s="80" t="s">
        <v>33</v>
      </c>
      <c r="B2" s="81"/>
      <c r="C2" s="81"/>
      <c r="D2" s="81"/>
      <c r="E2" s="81"/>
      <c r="F2" s="81"/>
      <c r="G2" s="37">
        <v>238500</v>
      </c>
    </row>
    <row r="3" spans="1:19" s="30" customFormat="1" x14ac:dyDescent="0.25"/>
    <row r="4" spans="1:19" ht="18.600000000000001" customHeight="1" x14ac:dyDescent="0.25">
      <c r="A4" s="79" t="s">
        <v>0</v>
      </c>
      <c r="B4" s="79" t="s">
        <v>31</v>
      </c>
      <c r="C4" s="79" t="s">
        <v>1</v>
      </c>
      <c r="D4" s="75" t="s">
        <v>30</v>
      </c>
      <c r="E4" s="79" t="s">
        <v>2</v>
      </c>
      <c r="F4" s="79" t="s">
        <v>3</v>
      </c>
      <c r="G4" s="75" t="s">
        <v>4</v>
      </c>
      <c r="H4" s="28"/>
      <c r="I4" s="28"/>
      <c r="J4" s="28"/>
      <c r="K4" s="28"/>
      <c r="L4" s="28"/>
      <c r="M4" s="28"/>
      <c r="N4" s="29"/>
      <c r="O4" s="29"/>
      <c r="P4" s="29"/>
      <c r="Q4" s="29"/>
      <c r="R4" s="29"/>
      <c r="S4" s="29"/>
    </row>
    <row r="5" spans="1:19" ht="3" customHeight="1" x14ac:dyDescent="0.25">
      <c r="A5" s="79"/>
      <c r="B5" s="79"/>
      <c r="C5" s="79"/>
      <c r="D5" s="75"/>
      <c r="E5" s="79"/>
      <c r="F5" s="79"/>
      <c r="G5" s="75"/>
      <c r="H5" s="28"/>
      <c r="I5" s="28"/>
      <c r="J5" s="28"/>
      <c r="K5" s="28"/>
      <c r="L5" s="28"/>
      <c r="M5" s="28"/>
      <c r="N5" s="29"/>
      <c r="O5" s="29"/>
      <c r="P5" s="29"/>
      <c r="Q5" s="29"/>
      <c r="R5" s="29"/>
      <c r="S5" s="29"/>
    </row>
    <row r="6" spans="1:19" s="33" customFormat="1" ht="30" x14ac:dyDescent="0.25">
      <c r="A6" s="31" t="s">
        <v>28</v>
      </c>
      <c r="B6" s="31" t="s">
        <v>8</v>
      </c>
      <c r="C6" s="31" t="s">
        <v>29</v>
      </c>
      <c r="D6" s="31"/>
      <c r="E6" s="32"/>
      <c r="F6" s="32"/>
      <c r="G6" s="32">
        <v>20000</v>
      </c>
    </row>
    <row r="7" spans="1:19" s="33" customFormat="1" ht="45" x14ac:dyDescent="0.25">
      <c r="A7" s="31" t="s">
        <v>28</v>
      </c>
      <c r="B7" s="31" t="s">
        <v>77</v>
      </c>
      <c r="C7" s="34" t="s">
        <v>59</v>
      </c>
      <c r="D7" s="31">
        <v>295.18</v>
      </c>
      <c r="E7" s="32">
        <f>45*D7</f>
        <v>13283.1</v>
      </c>
      <c r="F7" s="35" t="s">
        <v>32</v>
      </c>
      <c r="G7" s="32">
        <f>E7</f>
        <v>13283.1</v>
      </c>
      <c r="I7" s="33">
        <f>4+20+21</f>
        <v>45</v>
      </c>
    </row>
    <row r="8" spans="1:19" s="33" customFormat="1" ht="45" x14ac:dyDescent="0.25">
      <c r="A8" s="31" t="s">
        <v>58</v>
      </c>
      <c r="B8" s="31" t="s">
        <v>36</v>
      </c>
      <c r="C8" s="34">
        <v>6</v>
      </c>
      <c r="D8" s="31">
        <v>363.53</v>
      </c>
      <c r="E8" s="32">
        <f>C8*D8</f>
        <v>2181.1799999999998</v>
      </c>
      <c r="F8" s="35" t="s">
        <v>35</v>
      </c>
      <c r="G8" s="32">
        <f>E8</f>
        <v>2181.1799999999998</v>
      </c>
      <c r="I8" s="33">
        <v>6</v>
      </c>
    </row>
    <row r="10" spans="1:19" s="33" customFormat="1" ht="45" x14ac:dyDescent="0.25">
      <c r="A10" s="31" t="s">
        <v>34</v>
      </c>
      <c r="B10" s="31" t="s">
        <v>78</v>
      </c>
      <c r="C10" s="34">
        <v>21</v>
      </c>
      <c r="D10" s="31">
        <v>295.18</v>
      </c>
      <c r="E10" s="32">
        <f>C10*D10</f>
        <v>6198.78</v>
      </c>
      <c r="F10" s="35" t="s">
        <v>32</v>
      </c>
      <c r="G10" s="32">
        <f>E10</f>
        <v>6198.78</v>
      </c>
      <c r="I10" s="33">
        <f>17</f>
        <v>17</v>
      </c>
      <c r="J10" s="33" t="s">
        <v>83</v>
      </c>
      <c r="K10" s="33">
        <v>21</v>
      </c>
    </row>
    <row r="11" spans="1:19" s="33" customFormat="1" ht="45" x14ac:dyDescent="0.25">
      <c r="A11" s="31" t="s">
        <v>34</v>
      </c>
      <c r="B11" s="31" t="s">
        <v>36</v>
      </c>
      <c r="C11" s="34">
        <v>20</v>
      </c>
      <c r="D11" s="31">
        <v>363.53</v>
      </c>
      <c r="E11" s="32">
        <f>C11*D11</f>
        <v>7270.5999999999995</v>
      </c>
      <c r="F11" s="35" t="s">
        <v>35</v>
      </c>
      <c r="G11" s="32">
        <f>E11</f>
        <v>7270.5999999999995</v>
      </c>
      <c r="I11" s="33">
        <v>20</v>
      </c>
    </row>
    <row r="12" spans="1:19" s="38" customFormat="1" x14ac:dyDescent="0.25">
      <c r="C12" s="39"/>
    </row>
    <row r="13" spans="1:19" s="33" customFormat="1" ht="30" x14ac:dyDescent="0.25">
      <c r="A13" s="31" t="s">
        <v>40</v>
      </c>
      <c r="B13" s="31" t="s">
        <v>8</v>
      </c>
      <c r="C13" s="31" t="s">
        <v>41</v>
      </c>
      <c r="D13" s="31"/>
      <c r="E13" s="32"/>
      <c r="F13" s="32"/>
      <c r="G13" s="32">
        <v>20000</v>
      </c>
    </row>
    <row r="14" spans="1:19" s="33" customFormat="1" ht="45" x14ac:dyDescent="0.25">
      <c r="A14" s="31" t="s">
        <v>42</v>
      </c>
      <c r="B14" s="31" t="s">
        <v>77</v>
      </c>
      <c r="C14" s="34" t="s">
        <v>60</v>
      </c>
      <c r="D14" s="31">
        <v>295.18</v>
      </c>
      <c r="E14" s="32">
        <f>D14*63</f>
        <v>18596.34</v>
      </c>
      <c r="F14" s="35" t="s">
        <v>32</v>
      </c>
      <c r="G14" s="32">
        <f>E14</f>
        <v>18596.34</v>
      </c>
      <c r="I14" s="33">
        <f>20+20+23</f>
        <v>63</v>
      </c>
    </row>
    <row r="15" spans="1:19" s="33" customFormat="1" ht="45" x14ac:dyDescent="0.25">
      <c r="A15" s="31" t="s">
        <v>42</v>
      </c>
      <c r="B15" s="31" t="s">
        <v>36</v>
      </c>
      <c r="C15" s="34" t="s">
        <v>61</v>
      </c>
      <c r="D15" s="31">
        <v>363.53</v>
      </c>
      <c r="E15" s="32">
        <f>D15*60</f>
        <v>21811.8</v>
      </c>
      <c r="F15" s="35" t="s">
        <v>35</v>
      </c>
      <c r="G15" s="32">
        <f>E15</f>
        <v>21811.8</v>
      </c>
      <c r="I15" s="33">
        <f>20+20+20</f>
        <v>60</v>
      </c>
      <c r="J15" s="41"/>
    </row>
    <row r="16" spans="1:19" s="33" customFormat="1" x14ac:dyDescent="0.25">
      <c r="C16" s="40"/>
      <c r="E16" s="41"/>
      <c r="F16" s="42"/>
      <c r="G16" s="41"/>
      <c r="J16" s="41"/>
    </row>
    <row r="17" spans="1:19" x14ac:dyDescent="0.25">
      <c r="G17" s="25"/>
    </row>
    <row r="18" spans="1:19" ht="18.600000000000001" customHeight="1" x14ac:dyDescent="0.25">
      <c r="A18" s="49" t="s">
        <v>0</v>
      </c>
      <c r="B18" s="49" t="s">
        <v>31</v>
      </c>
      <c r="C18" s="49" t="s">
        <v>1</v>
      </c>
      <c r="D18" s="50" t="s">
        <v>30</v>
      </c>
      <c r="E18" s="49" t="s">
        <v>2</v>
      </c>
      <c r="F18" s="49" t="s">
        <v>3</v>
      </c>
      <c r="G18" s="50"/>
      <c r="H18" s="28"/>
      <c r="I18" s="28"/>
      <c r="J18" s="28"/>
      <c r="K18" s="28"/>
      <c r="L18" s="28"/>
      <c r="M18" s="28"/>
      <c r="N18" s="29"/>
      <c r="O18" s="29"/>
      <c r="P18" s="29"/>
      <c r="Q18" s="29"/>
      <c r="R18" s="29"/>
      <c r="S18" s="29"/>
    </row>
    <row r="19" spans="1:19" s="33" customFormat="1" ht="46.9" customHeight="1" x14ac:dyDescent="0.25">
      <c r="A19" s="31" t="s">
        <v>46</v>
      </c>
      <c r="B19" s="31" t="s">
        <v>8</v>
      </c>
      <c r="C19" s="31" t="s">
        <v>44</v>
      </c>
      <c r="D19" s="31"/>
      <c r="E19" s="32"/>
      <c r="F19" s="32"/>
      <c r="G19" s="32">
        <v>20000</v>
      </c>
    </row>
    <row r="20" spans="1:19" s="33" customFormat="1" ht="62.45" customHeight="1" x14ac:dyDescent="0.25">
      <c r="A20" s="31" t="s">
        <v>47</v>
      </c>
      <c r="B20" s="31" t="s">
        <v>78</v>
      </c>
      <c r="C20" s="34" t="s">
        <v>62</v>
      </c>
      <c r="D20" s="31">
        <v>295.18</v>
      </c>
      <c r="E20" s="32">
        <f>32*D20</f>
        <v>9445.76</v>
      </c>
      <c r="F20" s="35" t="s">
        <v>32</v>
      </c>
      <c r="G20" s="32">
        <f>E20</f>
        <v>9445.76</v>
      </c>
      <c r="I20" s="33">
        <f>11+21</f>
        <v>32</v>
      </c>
    </row>
    <row r="21" spans="1:19" s="33" customFormat="1" ht="57" customHeight="1" x14ac:dyDescent="0.25">
      <c r="A21" s="31" t="s">
        <v>47</v>
      </c>
      <c r="B21" s="31" t="s">
        <v>36</v>
      </c>
      <c r="C21" s="34" t="s">
        <v>62</v>
      </c>
      <c r="D21" s="31">
        <v>363.53</v>
      </c>
      <c r="E21" s="32">
        <f>D21*32</f>
        <v>11632.96</v>
      </c>
      <c r="F21" s="35" t="s">
        <v>35</v>
      </c>
      <c r="G21" s="32">
        <f>E21</f>
        <v>11632.96</v>
      </c>
      <c r="I21" s="33">
        <f>11+21</f>
        <v>32</v>
      </c>
      <c r="J21" s="41"/>
    </row>
    <row r="22" spans="1:19" x14ac:dyDescent="0.25">
      <c r="G22" s="25"/>
    </row>
    <row r="23" spans="1:19" s="33" customFormat="1" ht="46.9" customHeight="1" x14ac:dyDescent="0.25">
      <c r="A23" s="31" t="s">
        <v>45</v>
      </c>
      <c r="B23" s="31" t="s">
        <v>8</v>
      </c>
      <c r="C23" s="31" t="s">
        <v>44</v>
      </c>
      <c r="D23" s="31"/>
      <c r="E23" s="32"/>
      <c r="F23" s="32"/>
      <c r="G23" s="32">
        <v>20000</v>
      </c>
    </row>
    <row r="24" spans="1:19" s="33" customFormat="1" ht="62.45" customHeight="1" x14ac:dyDescent="0.25">
      <c r="A24" s="31" t="s">
        <v>45</v>
      </c>
      <c r="B24" s="31" t="s">
        <v>77</v>
      </c>
      <c r="C24" s="34" t="s">
        <v>84</v>
      </c>
      <c r="D24" s="31">
        <v>295.18</v>
      </c>
      <c r="E24" s="32">
        <f>D24*63</f>
        <v>18596.34</v>
      </c>
      <c r="F24" s="35" t="s">
        <v>32</v>
      </c>
      <c r="G24" s="32">
        <f>E24</f>
        <v>18596.34</v>
      </c>
      <c r="I24" s="33">
        <f>23+20+20</f>
        <v>63</v>
      </c>
      <c r="J24" s="33" t="s">
        <v>82</v>
      </c>
    </row>
    <row r="25" spans="1:19" s="33" customFormat="1" ht="57" customHeight="1" x14ac:dyDescent="0.25">
      <c r="A25" s="31" t="s">
        <v>45</v>
      </c>
      <c r="B25" s="31" t="s">
        <v>36</v>
      </c>
      <c r="C25" s="34" t="s">
        <v>76</v>
      </c>
      <c r="D25" s="31">
        <v>363.53</v>
      </c>
      <c r="E25" s="32">
        <f>D25*43</f>
        <v>15631.789999999999</v>
      </c>
      <c r="F25" s="35" t="s">
        <v>35</v>
      </c>
      <c r="G25" s="32">
        <f>E25</f>
        <v>15631.789999999999</v>
      </c>
      <c r="I25" s="33">
        <f>23+20</f>
        <v>43</v>
      </c>
      <c r="J25" s="41"/>
    </row>
    <row r="26" spans="1:19" x14ac:dyDescent="0.25">
      <c r="G26" s="25"/>
    </row>
    <row r="27" spans="1:19" s="61" customFormat="1" ht="15.75" x14ac:dyDescent="0.25">
      <c r="B27" s="61" t="s">
        <v>2</v>
      </c>
      <c r="G27" s="60">
        <f>SUM(G6:G25)</f>
        <v>204648.65</v>
      </c>
      <c r="I27" s="61">
        <f>SUM(I6:I25)</f>
        <v>381</v>
      </c>
      <c r="J27" s="61" t="s">
        <v>63</v>
      </c>
      <c r="K27" s="61">
        <f>I7+I10+I14+I20+I24</f>
        <v>220</v>
      </c>
    </row>
    <row r="28" spans="1:19" x14ac:dyDescent="0.25">
      <c r="J28" s="2" t="s">
        <v>64</v>
      </c>
      <c r="K28" s="2">
        <f>I8+I11+I15+I21+I25</f>
        <v>161</v>
      </c>
    </row>
    <row r="29" spans="1:19" ht="39" customHeight="1" x14ac:dyDescent="0.25">
      <c r="A29" s="6" t="s">
        <v>80</v>
      </c>
      <c r="G29" s="4"/>
    </row>
    <row r="30" spans="1:19" s="36" customFormat="1" x14ac:dyDescent="0.25">
      <c r="A30" s="80" t="s">
        <v>33</v>
      </c>
      <c r="B30" s="81"/>
      <c r="C30" s="81"/>
      <c r="D30" s="81"/>
      <c r="E30" s="81"/>
      <c r="F30" s="81"/>
      <c r="G30" s="37">
        <v>238500</v>
      </c>
    </row>
    <row r="32" spans="1:19" ht="30.75" thickBot="1" x14ac:dyDescent="0.3">
      <c r="A32" s="36" t="s">
        <v>50</v>
      </c>
      <c r="B32" s="36" t="s">
        <v>50</v>
      </c>
      <c r="C32" s="6"/>
      <c r="D32" s="6"/>
      <c r="E32" s="6"/>
      <c r="F32" s="6"/>
    </row>
    <row r="33" spans="1:7" s="47" customFormat="1" ht="16.5" customHeight="1" thickBot="1" x14ac:dyDescent="0.3">
      <c r="A33" s="43"/>
      <c r="B33" s="44" t="s">
        <v>37</v>
      </c>
      <c r="C33" s="45"/>
      <c r="D33" s="46">
        <v>35268.65</v>
      </c>
      <c r="G33" s="48"/>
    </row>
    <row r="34" spans="1:7" s="47" customFormat="1" ht="15" customHeight="1" thickBot="1" x14ac:dyDescent="0.3">
      <c r="A34" s="43"/>
      <c r="B34" s="44" t="s">
        <v>38</v>
      </c>
      <c r="C34" s="45"/>
      <c r="D34" s="46">
        <v>12288.66</v>
      </c>
      <c r="G34" s="48"/>
    </row>
    <row r="35" spans="1:7" s="47" customFormat="1" x14ac:dyDescent="0.25">
      <c r="A35" s="43"/>
      <c r="B35" s="69" t="s">
        <v>39</v>
      </c>
      <c r="C35" s="76"/>
      <c r="D35" s="70">
        <v>71692.69</v>
      </c>
      <c r="G35" s="48"/>
    </row>
    <row r="36" spans="1:7" s="47" customFormat="1" ht="15.75" thickBot="1" x14ac:dyDescent="0.3">
      <c r="A36" s="43"/>
      <c r="B36" s="71" t="s">
        <v>74</v>
      </c>
      <c r="C36" s="77"/>
      <c r="D36" s="72">
        <v>23850</v>
      </c>
      <c r="G36" s="48"/>
    </row>
    <row r="37" spans="1:7" s="47" customFormat="1" ht="15.75" thickBot="1" x14ac:dyDescent="0.3">
      <c r="A37" s="43"/>
      <c r="B37" s="71" t="s">
        <v>43</v>
      </c>
      <c r="C37" s="77"/>
      <c r="D37" s="72">
        <v>23850</v>
      </c>
      <c r="G37" s="48"/>
    </row>
    <row r="38" spans="1:7" s="67" customFormat="1" ht="15.75" thickBot="1" x14ac:dyDescent="0.3">
      <c r="A38" s="66"/>
      <c r="B38" s="71" t="s">
        <v>75</v>
      </c>
      <c r="C38" s="78"/>
      <c r="D38" s="73">
        <v>23850</v>
      </c>
      <c r="G38" s="68"/>
    </row>
    <row r="39" spans="1:7" s="47" customFormat="1" ht="9" customHeight="1" x14ac:dyDescent="0.25">
      <c r="A39" s="43"/>
      <c r="F39" s="48"/>
      <c r="G39" s="48"/>
    </row>
    <row r="40" spans="1:7" s="47" customFormat="1" x14ac:dyDescent="0.25">
      <c r="A40" s="43"/>
      <c r="B40" s="2" t="s">
        <v>52</v>
      </c>
      <c r="D40" s="54">
        <f>SUM(D33:D39)</f>
        <v>190800</v>
      </c>
      <c r="G40" s="48"/>
    </row>
    <row r="41" spans="1:7" x14ac:dyDescent="0.25">
      <c r="G41" s="48"/>
    </row>
    <row r="42" spans="1:7" x14ac:dyDescent="0.25">
      <c r="D42" s="4"/>
      <c r="G42" s="48"/>
    </row>
    <row r="43" spans="1:7" ht="30" x14ac:dyDescent="0.25">
      <c r="B43" s="6" t="s">
        <v>85</v>
      </c>
      <c r="D43" s="74">
        <v>204648.65</v>
      </c>
      <c r="G43" s="48"/>
    </row>
    <row r="44" spans="1:7" s="56" customFormat="1" x14ac:dyDescent="0.25">
      <c r="D44" s="57"/>
      <c r="G44" s="58"/>
    </row>
    <row r="45" spans="1:7" ht="24" customHeight="1" x14ac:dyDescent="0.25">
      <c r="A45" s="36"/>
      <c r="B45" s="6" t="s">
        <v>86</v>
      </c>
      <c r="C45" s="6"/>
      <c r="D45" s="59">
        <f>D43-D40</f>
        <v>13848.649999999994</v>
      </c>
      <c r="E45" s="6"/>
      <c r="F45" s="6"/>
      <c r="G45" s="25"/>
    </row>
    <row r="46" spans="1:7" s="56" customFormat="1" x14ac:dyDescent="0.25">
      <c r="D46" s="57"/>
      <c r="G46" s="58"/>
    </row>
    <row r="47" spans="1:7" s="56" customFormat="1" x14ac:dyDescent="0.25">
      <c r="B47" s="56" t="s">
        <v>87</v>
      </c>
      <c r="D47" s="57">
        <f>G30-D43</f>
        <v>33851.350000000006</v>
      </c>
      <c r="E47" s="57"/>
      <c r="F47" s="57"/>
      <c r="G47" s="58"/>
    </row>
    <row r="48" spans="1:7" ht="39" customHeight="1" x14ac:dyDescent="0.25">
      <c r="A48" s="6" t="s">
        <v>79</v>
      </c>
      <c r="G48" s="4"/>
    </row>
    <row r="49" spans="1:7" s="36" customFormat="1" x14ac:dyDescent="0.25">
      <c r="A49" s="80" t="s">
        <v>33</v>
      </c>
      <c r="B49" s="81"/>
      <c r="C49" s="81"/>
      <c r="D49" s="81"/>
      <c r="E49" s="81"/>
      <c r="F49" s="81"/>
      <c r="G49" s="37">
        <v>238500</v>
      </c>
    </row>
    <row r="51" spans="1:7" ht="30.75" thickBot="1" x14ac:dyDescent="0.3">
      <c r="A51" s="36" t="s">
        <v>50</v>
      </c>
      <c r="B51" s="36" t="s">
        <v>50</v>
      </c>
      <c r="C51" s="6"/>
      <c r="D51" s="6"/>
      <c r="E51" s="6"/>
      <c r="F51" s="6"/>
    </row>
    <row r="52" spans="1:7" s="47" customFormat="1" ht="16.5" customHeight="1" thickBot="1" x14ac:dyDescent="0.3">
      <c r="A52" s="43"/>
      <c r="B52" s="44" t="s">
        <v>37</v>
      </c>
      <c r="C52" s="45"/>
      <c r="D52" s="46">
        <v>35268.65</v>
      </c>
      <c r="G52" s="48"/>
    </row>
    <row r="53" spans="1:7" s="47" customFormat="1" ht="15" customHeight="1" thickBot="1" x14ac:dyDescent="0.3">
      <c r="A53" s="43"/>
      <c r="B53" s="44" t="s">
        <v>38</v>
      </c>
      <c r="C53" s="45"/>
      <c r="D53" s="46">
        <v>12288.66</v>
      </c>
      <c r="G53" s="48"/>
    </row>
    <row r="54" spans="1:7" s="47" customFormat="1" x14ac:dyDescent="0.25">
      <c r="A54" s="43"/>
      <c r="B54" s="69" t="s">
        <v>39</v>
      </c>
      <c r="C54" s="76"/>
      <c r="D54" s="70">
        <v>71692.69</v>
      </c>
      <c r="G54" s="48"/>
    </row>
    <row r="55" spans="1:7" s="47" customFormat="1" ht="15.75" thickBot="1" x14ac:dyDescent="0.3">
      <c r="A55" s="43"/>
      <c r="B55" s="71" t="s">
        <v>74</v>
      </c>
      <c r="C55" s="77"/>
      <c r="D55" s="72">
        <v>23850</v>
      </c>
      <c r="G55" s="48"/>
    </row>
    <row r="56" spans="1:7" s="47" customFormat="1" ht="15.75" thickBot="1" x14ac:dyDescent="0.3">
      <c r="A56" s="43"/>
      <c r="B56" s="71" t="s">
        <v>43</v>
      </c>
      <c r="C56" s="77"/>
      <c r="D56" s="72">
        <v>23850</v>
      </c>
      <c r="G56" s="48"/>
    </row>
    <row r="57" spans="1:7" s="67" customFormat="1" ht="15.75" thickBot="1" x14ac:dyDescent="0.3">
      <c r="A57" s="66"/>
      <c r="B57" s="71" t="s">
        <v>75</v>
      </c>
      <c r="C57" s="78"/>
      <c r="D57" s="73">
        <v>23850</v>
      </c>
      <c r="G57" s="68"/>
    </row>
    <row r="58" spans="1:7" s="47" customFormat="1" ht="9" customHeight="1" x14ac:dyDescent="0.25">
      <c r="A58" s="43"/>
      <c r="F58" s="48"/>
      <c r="G58" s="48"/>
    </row>
    <row r="59" spans="1:7" s="47" customFormat="1" x14ac:dyDescent="0.25">
      <c r="A59" s="43"/>
      <c r="B59" s="2" t="s">
        <v>52</v>
      </c>
      <c r="D59" s="54">
        <f>SUM(D52:D58)</f>
        <v>190800</v>
      </c>
      <c r="G59" s="48"/>
    </row>
    <row r="60" spans="1:7" x14ac:dyDescent="0.25">
      <c r="G60" s="48"/>
    </row>
    <row r="61" spans="1:7" x14ac:dyDescent="0.25">
      <c r="D61" s="4"/>
      <c r="G61" s="48"/>
    </row>
    <row r="62" spans="1:7" x14ac:dyDescent="0.25">
      <c r="B62" s="6" t="s">
        <v>70</v>
      </c>
      <c r="D62" s="59">
        <f>G27</f>
        <v>204648.65</v>
      </c>
      <c r="G62" s="48"/>
    </row>
    <row r="63" spans="1:7" s="56" customFormat="1" ht="30" x14ac:dyDescent="0.25">
      <c r="B63" s="56" t="s">
        <v>71</v>
      </c>
      <c r="D63" s="65">
        <f>C85</f>
        <v>1888.16</v>
      </c>
      <c r="F63" s="56" t="s">
        <v>81</v>
      </c>
      <c r="G63" s="58">
        <f>D63/295.18</f>
        <v>6.3966393387085851</v>
      </c>
    </row>
    <row r="64" spans="1:7" s="56" customFormat="1" x14ac:dyDescent="0.25">
      <c r="B64" s="56" t="s">
        <v>72</v>
      </c>
      <c r="D64" s="57">
        <f>D62+D63</f>
        <v>206536.81</v>
      </c>
      <c r="G64" s="58"/>
    </row>
    <row r="65" spans="1:7" s="56" customFormat="1" x14ac:dyDescent="0.25">
      <c r="D65" s="57"/>
      <c r="G65" s="58"/>
    </row>
    <row r="66" spans="1:7" x14ac:dyDescent="0.25">
      <c r="A66" s="36"/>
      <c r="B66" s="6" t="s">
        <v>73</v>
      </c>
      <c r="C66" s="6"/>
      <c r="D66" s="59">
        <f>G49-D64</f>
        <v>31963.190000000002</v>
      </c>
      <c r="E66" s="6"/>
      <c r="F66" s="6"/>
      <c r="G66" s="25"/>
    </row>
    <row r="67" spans="1:7" s="56" customFormat="1" x14ac:dyDescent="0.25">
      <c r="D67" s="57"/>
      <c r="G67" s="58"/>
    </row>
    <row r="68" spans="1:7" s="56" customFormat="1" x14ac:dyDescent="0.25">
      <c r="B68" s="56" t="s">
        <v>53</v>
      </c>
      <c r="D68" s="57">
        <f>D64-D59</f>
        <v>15736.809999999998</v>
      </c>
      <c r="F68" s="57"/>
      <c r="G68" s="58"/>
    </row>
    <row r="71" spans="1:7" x14ac:dyDescent="0.25">
      <c r="A71" s="36"/>
      <c r="B71" s="6"/>
      <c r="C71" s="6"/>
      <c r="D71" s="6"/>
      <c r="E71" s="6"/>
      <c r="F71" s="6"/>
      <c r="G71" s="25"/>
    </row>
    <row r="72" spans="1:7" x14ac:dyDescent="0.25">
      <c r="A72" s="36" t="s">
        <v>66</v>
      </c>
      <c r="B72" s="6"/>
      <c r="C72" s="6"/>
      <c r="D72" s="6"/>
      <c r="E72" s="6"/>
      <c r="F72" s="6"/>
      <c r="G72" s="25"/>
    </row>
    <row r="73" spans="1:7" x14ac:dyDescent="0.25">
      <c r="B73" s="2" t="s">
        <v>51</v>
      </c>
      <c r="C73" s="2">
        <v>235.43</v>
      </c>
    </row>
    <row r="74" spans="1:7" x14ac:dyDescent="0.25">
      <c r="B74" s="2" t="s">
        <v>68</v>
      </c>
      <c r="C74" s="38">
        <v>667.23</v>
      </c>
    </row>
    <row r="75" spans="1:7" x14ac:dyDescent="0.25">
      <c r="C75" s="6">
        <f>C73+C74</f>
        <v>902.66000000000008</v>
      </c>
    </row>
    <row r="78" spans="1:7" x14ac:dyDescent="0.25">
      <c r="A78" s="36" t="s">
        <v>67</v>
      </c>
    </row>
    <row r="79" spans="1:7" ht="15.75" x14ac:dyDescent="0.25">
      <c r="B79" s="55" t="s">
        <v>56</v>
      </c>
      <c r="C79" s="62">
        <v>157.5</v>
      </c>
    </row>
    <row r="80" spans="1:7" x14ac:dyDescent="0.25">
      <c r="B80" s="2" t="s">
        <v>55</v>
      </c>
      <c r="C80" s="63">
        <v>153</v>
      </c>
    </row>
    <row r="81" spans="1:3" x14ac:dyDescent="0.25">
      <c r="C81" s="64">
        <f>SUM(C79:C80)</f>
        <v>310.5</v>
      </c>
    </row>
    <row r="83" spans="1:3" x14ac:dyDescent="0.25">
      <c r="A83" s="6" t="s">
        <v>65</v>
      </c>
      <c r="B83" s="2" t="s">
        <v>54</v>
      </c>
      <c r="C83" s="64">
        <v>675</v>
      </c>
    </row>
    <row r="85" spans="1:3" s="6" customFormat="1" x14ac:dyDescent="0.25">
      <c r="A85" s="6" t="s">
        <v>69</v>
      </c>
      <c r="C85" s="64">
        <f>C75+C81+C83</f>
        <v>1888.16</v>
      </c>
    </row>
  </sheetData>
  <mergeCells count="12">
    <mergeCell ref="G4:G5"/>
    <mergeCell ref="C54:C57"/>
    <mergeCell ref="F4:F5"/>
    <mergeCell ref="A49:F49"/>
    <mergeCell ref="A2:F2"/>
    <mergeCell ref="A4:A5"/>
    <mergeCell ref="B4:B5"/>
    <mergeCell ref="C4:C5"/>
    <mergeCell ref="D4:D5"/>
    <mergeCell ref="E4:E5"/>
    <mergeCell ref="A30:F30"/>
    <mergeCell ref="C35:C3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FEBDE-7439-4EF2-B8CB-EA375A6BD141}">
  <dimension ref="A1:I31"/>
  <sheetViews>
    <sheetView topLeftCell="A11" workbookViewId="0">
      <selection activeCell="H18" sqref="H18"/>
    </sheetView>
  </sheetViews>
  <sheetFormatPr defaultColWidth="11.42578125" defaultRowHeight="15" x14ac:dyDescent="0.25"/>
  <cols>
    <col min="1" max="1" width="11.42578125" style="2"/>
    <col min="2" max="2" width="40.85546875" style="2" customWidth="1"/>
    <col min="3" max="3" width="20.42578125" style="2" customWidth="1"/>
    <col min="4" max="4" width="19.42578125" style="2" customWidth="1"/>
    <col min="5" max="5" width="18.28515625" style="2" customWidth="1"/>
    <col min="6" max="6" width="19.7109375" style="2" customWidth="1"/>
    <col min="7" max="7" width="19.42578125" style="2" customWidth="1"/>
    <col min="8" max="8" width="14.7109375" style="2" customWidth="1"/>
    <col min="9" max="9" width="11.42578125" style="2"/>
    <col min="10" max="10" width="16.28515625" style="2" customWidth="1"/>
    <col min="11" max="16384" width="11.42578125" style="2"/>
  </cols>
  <sheetData>
    <row r="1" spans="1:9" ht="16.5" customHeight="1" x14ac:dyDescent="0.25">
      <c r="H1" s="25"/>
    </row>
    <row r="2" spans="1:9" ht="15.75" x14ac:dyDescent="0.25">
      <c r="A2" s="2" t="s">
        <v>5</v>
      </c>
      <c r="B2" s="1" t="s">
        <v>6</v>
      </c>
    </row>
    <row r="3" spans="1:9" ht="15.75" thickBot="1" x14ac:dyDescent="0.3"/>
    <row r="4" spans="1:9" ht="60.75" thickBot="1" x14ac:dyDescent="0.3">
      <c r="B4" s="17" t="s">
        <v>7</v>
      </c>
      <c r="C4" s="18" t="s">
        <v>8</v>
      </c>
      <c r="D4" s="27" t="s">
        <v>9</v>
      </c>
      <c r="E4" s="19" t="s">
        <v>10</v>
      </c>
    </row>
    <row r="5" spans="1:9" x14ac:dyDescent="0.25">
      <c r="B5" s="14" t="s">
        <v>11</v>
      </c>
      <c r="C5" s="22" t="s">
        <v>12</v>
      </c>
      <c r="D5" s="26" t="s">
        <v>12</v>
      </c>
      <c r="E5" s="16"/>
      <c r="G5" s="4"/>
      <c r="H5" s="4"/>
    </row>
    <row r="6" spans="1:9" x14ac:dyDescent="0.25">
      <c r="B6" s="7" t="s">
        <v>13</v>
      </c>
      <c r="C6" s="5">
        <v>0.5</v>
      </c>
      <c r="D6" s="5">
        <v>1</v>
      </c>
      <c r="E6" s="8"/>
    </row>
    <row r="7" spans="1:9" ht="30" x14ac:dyDescent="0.25">
      <c r="B7" s="7" t="s">
        <v>14</v>
      </c>
      <c r="C7" s="21">
        <f>80000/218</f>
        <v>366.97247706422019</v>
      </c>
      <c r="D7" s="21">
        <f>79250/218</f>
        <v>363.53211009174311</v>
      </c>
      <c r="E7" s="8"/>
      <c r="G7" s="25"/>
    </row>
    <row r="8" spans="1:9" ht="15.75" x14ac:dyDescent="0.25">
      <c r="B8" s="7" t="s">
        <v>15</v>
      </c>
      <c r="C8" s="15">
        <v>80000</v>
      </c>
      <c r="D8" s="21">
        <f>158500/2</f>
        <v>79250</v>
      </c>
      <c r="E8" s="13">
        <f>SUM(C8:D8)</f>
        <v>159250</v>
      </c>
      <c r="G8" s="4"/>
      <c r="H8" s="24"/>
    </row>
    <row r="9" spans="1:9" ht="15.75" thickBot="1" x14ac:dyDescent="0.3">
      <c r="B9" s="9"/>
      <c r="C9" s="10"/>
      <c r="D9" s="10"/>
      <c r="E9" s="11"/>
      <c r="G9" s="4"/>
    </row>
    <row r="10" spans="1:9" ht="15.75" thickBot="1" x14ac:dyDescent="0.3">
      <c r="H10" s="25"/>
    </row>
    <row r="11" spans="1:9" ht="75.75" thickBot="1" x14ac:dyDescent="0.3">
      <c r="B11" s="17" t="s">
        <v>7</v>
      </c>
      <c r="C11" s="27" t="s">
        <v>16</v>
      </c>
      <c r="D11" s="27" t="s">
        <v>17</v>
      </c>
      <c r="E11" s="27" t="s">
        <v>18</v>
      </c>
      <c r="F11" s="19" t="s">
        <v>10</v>
      </c>
    </row>
    <row r="12" spans="1:9" x14ac:dyDescent="0.25">
      <c r="B12" s="14" t="s">
        <v>11</v>
      </c>
      <c r="C12" s="26" t="s">
        <v>12</v>
      </c>
      <c r="D12" s="22" t="s">
        <v>19</v>
      </c>
      <c r="E12" s="22" t="s">
        <v>19</v>
      </c>
      <c r="F12" s="16"/>
      <c r="H12" s="4"/>
      <c r="I12" s="4"/>
    </row>
    <row r="13" spans="1:9" x14ac:dyDescent="0.25">
      <c r="B13" s="7" t="s">
        <v>13</v>
      </c>
      <c r="C13" s="5">
        <v>1</v>
      </c>
      <c r="D13" s="5">
        <v>1</v>
      </c>
      <c r="E13" s="5">
        <v>1</v>
      </c>
      <c r="F13" s="8"/>
    </row>
    <row r="14" spans="1:9" ht="30" x14ac:dyDescent="0.25">
      <c r="B14" s="7" t="s">
        <v>14</v>
      </c>
      <c r="C14" s="21">
        <f>79250/218</f>
        <v>363.53211009174311</v>
      </c>
      <c r="D14" s="15">
        <f>64350/218</f>
        <v>295.18348623853211</v>
      </c>
      <c r="E14" s="15">
        <f>64350/218</f>
        <v>295.18348623853211</v>
      </c>
      <c r="F14" s="8"/>
      <c r="H14" s="25"/>
    </row>
    <row r="15" spans="1:9" ht="15.75" x14ac:dyDescent="0.25">
      <c r="B15" s="7" t="s">
        <v>15</v>
      </c>
      <c r="C15" s="21">
        <f>158500/2</f>
        <v>79250</v>
      </c>
      <c r="D15" s="15">
        <f>128700/2</f>
        <v>64350</v>
      </c>
      <c r="E15" s="15">
        <f>128700/2</f>
        <v>64350</v>
      </c>
      <c r="F15" s="13">
        <f>SUM(C15:E15)</f>
        <v>207950</v>
      </c>
      <c r="G15" s="4">
        <f>F15+E8</f>
        <v>367200</v>
      </c>
      <c r="H15" s="4"/>
      <c r="I15" s="24"/>
    </row>
    <row r="16" spans="1:9" ht="15.75" thickBot="1" x14ac:dyDescent="0.3">
      <c r="B16" s="9"/>
      <c r="C16" s="10"/>
      <c r="D16" s="10"/>
      <c r="E16" s="10"/>
      <c r="F16" s="11"/>
      <c r="H16" s="4"/>
    </row>
    <row r="17" spans="2:9" ht="16.5" customHeight="1" thickBot="1" x14ac:dyDescent="0.3">
      <c r="H17" s="25"/>
    </row>
    <row r="18" spans="2:9" ht="75.75" thickBot="1" x14ac:dyDescent="0.3">
      <c r="B18" s="17" t="s">
        <v>7</v>
      </c>
      <c r="C18" s="27" t="s">
        <v>48</v>
      </c>
      <c r="D18" s="27" t="s">
        <v>17</v>
      </c>
      <c r="E18" s="27" t="s">
        <v>18</v>
      </c>
      <c r="F18" s="19" t="s">
        <v>10</v>
      </c>
    </row>
    <row r="19" spans="2:9" x14ac:dyDescent="0.25">
      <c r="B19" s="14" t="s">
        <v>11</v>
      </c>
      <c r="C19" s="26" t="s">
        <v>12</v>
      </c>
      <c r="D19" s="22" t="s">
        <v>19</v>
      </c>
      <c r="E19" s="22" t="s">
        <v>19</v>
      </c>
      <c r="F19" s="16"/>
      <c r="H19" s="4"/>
      <c r="I19" s="4"/>
    </row>
    <row r="20" spans="2:9" x14ac:dyDescent="0.25">
      <c r="B20" s="7" t="s">
        <v>13</v>
      </c>
      <c r="C20" s="51">
        <v>1</v>
      </c>
      <c r="D20" s="5">
        <v>1</v>
      </c>
      <c r="E20" s="5">
        <v>1</v>
      </c>
      <c r="F20" s="8"/>
    </row>
    <row r="21" spans="2:9" ht="30" x14ac:dyDescent="0.25">
      <c r="B21" s="7" t="s">
        <v>14</v>
      </c>
      <c r="C21" s="52">
        <f>98100/218</f>
        <v>450</v>
      </c>
      <c r="D21" s="15">
        <f>64350/218</f>
        <v>295.18348623853211</v>
      </c>
      <c r="E21" s="15">
        <f>64350/218</f>
        <v>295.18348623853211</v>
      </c>
      <c r="F21" s="8"/>
      <c r="G21" s="2">
        <f>450*218</f>
        <v>98100</v>
      </c>
      <c r="H21" s="25"/>
    </row>
    <row r="22" spans="2:9" ht="15.75" x14ac:dyDescent="0.25">
      <c r="B22" s="7" t="s">
        <v>15</v>
      </c>
      <c r="C22" s="52" t="s">
        <v>49</v>
      </c>
      <c r="D22" s="15">
        <f>128700/2</f>
        <v>64350</v>
      </c>
      <c r="E22" s="15">
        <f>128700/2</f>
        <v>64350</v>
      </c>
      <c r="F22" s="13">
        <f>SUM(C22:E22)</f>
        <v>128700</v>
      </c>
      <c r="G22" s="4">
        <f>F22+E15</f>
        <v>193050</v>
      </c>
      <c r="H22" s="4"/>
      <c r="I22" s="24"/>
    </row>
    <row r="23" spans="2:9" ht="15.75" thickBot="1" x14ac:dyDescent="0.3">
      <c r="B23" s="9"/>
      <c r="C23" s="53"/>
      <c r="D23" s="10"/>
      <c r="E23" s="10"/>
      <c r="F23" s="11"/>
      <c r="H23" s="4"/>
    </row>
    <row r="24" spans="2:9" s="6" customFormat="1" ht="15.75" x14ac:dyDescent="0.25">
      <c r="B24" s="82" t="s">
        <v>20</v>
      </c>
      <c r="C24" s="82"/>
      <c r="D24" s="82"/>
      <c r="E24" s="82"/>
    </row>
    <row r="25" spans="2:9" ht="15.75" thickBot="1" x14ac:dyDescent="0.3"/>
    <row r="26" spans="2:9" ht="45.75" thickBot="1" x14ac:dyDescent="0.3">
      <c r="B26" s="20" t="s">
        <v>7</v>
      </c>
      <c r="C26" s="18" t="s">
        <v>21</v>
      </c>
      <c r="D26" s="18" t="s">
        <v>22</v>
      </c>
      <c r="E26" s="23" t="s">
        <v>23</v>
      </c>
    </row>
    <row r="27" spans="2:9" x14ac:dyDescent="0.25">
      <c r="B27" s="14" t="s">
        <v>24</v>
      </c>
      <c r="C27" s="22" t="s">
        <v>25</v>
      </c>
      <c r="D27" s="22" t="s">
        <v>25</v>
      </c>
      <c r="E27" s="16"/>
    </row>
    <row r="28" spans="2:9" x14ac:dyDescent="0.25">
      <c r="B28" s="7" t="s">
        <v>13</v>
      </c>
      <c r="C28" s="5">
        <v>1</v>
      </c>
      <c r="D28" s="5">
        <v>1</v>
      </c>
      <c r="E28" s="8"/>
    </row>
    <row r="29" spans="2:9" x14ac:dyDescent="0.25">
      <c r="B29" s="7" t="s">
        <v>26</v>
      </c>
      <c r="C29" s="3">
        <v>0</v>
      </c>
      <c r="D29" s="3">
        <v>0</v>
      </c>
      <c r="E29" s="8"/>
    </row>
    <row r="30" spans="2:9" x14ac:dyDescent="0.25">
      <c r="B30" s="7"/>
      <c r="C30" s="3"/>
      <c r="D30" s="3"/>
      <c r="E30" s="8"/>
      <c r="G30" s="4"/>
    </row>
    <row r="31" spans="2:9" ht="15.75" thickBot="1" x14ac:dyDescent="0.3">
      <c r="B31" s="9" t="s">
        <v>27</v>
      </c>
      <c r="C31" s="10"/>
      <c r="D31" s="10"/>
      <c r="E31" s="12"/>
    </row>
  </sheetData>
  <mergeCells count="1">
    <mergeCell ref="B24:E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Fixed cost exF+50% Transv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Gariglio</dc:creator>
  <cp:lastModifiedBy>Patrizia Gariglio</cp:lastModifiedBy>
  <cp:lastPrinted>2025-05-02T08:37:23Z</cp:lastPrinted>
  <dcterms:created xsi:type="dcterms:W3CDTF">2025-03-23T15:46:49Z</dcterms:created>
  <dcterms:modified xsi:type="dcterms:W3CDTF">2025-11-26T13:50:30Z</dcterms:modified>
</cp:coreProperties>
</file>