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KOINE ACADEMY MATERIALE\03 INCONTRI SETTIMANALI\CONTI\_2026\"/>
    </mc:Choice>
  </mc:AlternateContent>
  <xr:revisionPtr revIDLastSave="0" documentId="13_ncr:1_{CD65E559-4623-422B-A669-780A04F97A87}" xr6:coauthVersionLast="47" xr6:coauthVersionMax="47" xr10:uidLastSave="{00000000-0000-0000-0000-000000000000}"/>
  <bookViews>
    <workbookView xWindow="16410" yWindow="8190" windowWidth="20475" windowHeight="16200" xr2:uid="{02F4AEDC-2386-46CC-9032-867A73B3E500}"/>
  </bookViews>
  <sheets>
    <sheet name="Foglio1" sheetId="1" r:id="rId1"/>
    <sheet name="Fixed cost exF+50% Transv" sheetId="2" r:id="rId2"/>
  </sheets>
  <definedNames>
    <definedName name="_xlnm.Print_Area" localSheetId="0">Foglio1!$A$1:$H$12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65" i="1"/>
  <c r="D63" i="1"/>
  <c r="E31" i="1"/>
  <c r="G31" i="1" s="1"/>
  <c r="J31" i="1"/>
  <c r="J38" i="1"/>
  <c r="E38" i="1"/>
  <c r="G38" i="1" s="1"/>
  <c r="H38" i="1" s="1"/>
  <c r="J30" i="1"/>
  <c r="E30" i="1"/>
  <c r="G30" i="1" s="1"/>
  <c r="I27" i="1"/>
  <c r="E25" i="1"/>
  <c r="G25" i="1" s="1"/>
  <c r="J25" i="1"/>
  <c r="E24" i="1"/>
  <c r="J24" i="1"/>
  <c r="E10" i="1"/>
  <c r="J20" i="1"/>
  <c r="E20" i="1"/>
  <c r="E21" i="1"/>
  <c r="J21" i="1"/>
  <c r="H32" i="1" l="1"/>
  <c r="D57" i="1"/>
  <c r="E15" i="1"/>
  <c r="G15" i="1" s="1"/>
  <c r="J15" i="1"/>
  <c r="L28" i="1" s="1"/>
  <c r="E14" i="1"/>
  <c r="G14" i="1" s="1"/>
  <c r="J14" i="1"/>
  <c r="G57" i="1" l="1"/>
  <c r="D58" i="1"/>
  <c r="H15" i="1"/>
  <c r="J10" i="1"/>
  <c r="E7" i="1"/>
  <c r="J7" i="1"/>
  <c r="E8" i="1"/>
  <c r="G8" i="1" s="1"/>
  <c r="C81" i="1"/>
  <c r="G24" i="1"/>
  <c r="H25" i="1" s="1"/>
  <c r="G10" i="1"/>
  <c r="E11" i="1"/>
  <c r="G11" i="1" s="1"/>
  <c r="H11" i="1" l="1"/>
  <c r="J26" i="1"/>
  <c r="L27" i="1"/>
  <c r="J27" i="1"/>
  <c r="C75" i="1"/>
  <c r="C85" i="1" s="1"/>
  <c r="D67" i="1" s="1"/>
  <c r="G21" i="1"/>
  <c r="G20" i="1"/>
  <c r="G21" i="2"/>
  <c r="C21" i="2"/>
  <c r="E22" i="2"/>
  <c r="D22" i="2"/>
  <c r="F22" i="2"/>
  <c r="E21" i="2"/>
  <c r="D21" i="2"/>
  <c r="C14" i="2"/>
  <c r="G7" i="1"/>
  <c r="H8" i="1" s="1"/>
  <c r="D8" i="2"/>
  <c r="D7" i="2"/>
  <c r="C7" i="2"/>
  <c r="H21" i="1" l="1"/>
  <c r="H27" i="1" s="1"/>
  <c r="G27" i="1"/>
  <c r="E15" i="2"/>
  <c r="G22" i="2" s="1"/>
  <c r="D15" i="2"/>
  <c r="C15" i="2"/>
  <c r="F15" i="2" s="1"/>
  <c r="E14" i="2"/>
  <c r="D14" i="2"/>
  <c r="E8" i="2"/>
  <c r="I28" i="1" l="1"/>
  <c r="G15" i="2"/>
</calcChain>
</file>

<file path=xl/sharedStrings.xml><?xml version="1.0" encoding="utf-8"?>
<sst xmlns="http://schemas.openxmlformats.org/spreadsheetml/2006/main" count="179" uniqueCount="95">
  <si>
    <t>Month</t>
  </si>
  <si>
    <t xml:space="preserve">DAYS </t>
  </si>
  <si>
    <t>TOTAL</t>
  </si>
  <si>
    <t>MANAGER</t>
  </si>
  <si>
    <r>
      <t xml:space="preserve">PRICE </t>
    </r>
    <r>
      <rPr>
        <sz val="10"/>
        <rFont val="Aptos Narrow"/>
        <family val="2"/>
        <scheme val="minor"/>
      </rPr>
      <t>(€)</t>
    </r>
  </si>
  <si>
    <t xml:space="preserve"> </t>
  </si>
  <si>
    <t xml:space="preserve">GLOBAL PROGRAM OFFICE </t>
  </si>
  <si>
    <t>Job Title</t>
  </si>
  <si>
    <t>GOVERNANCE ACCOUNT MANAGEMENT ACTIVITY</t>
  </si>
  <si>
    <t>1 SENIOR PROJECT MANAGEMENT ACTIVITY</t>
  </si>
  <si>
    <t>Total</t>
  </si>
  <si>
    <t xml:space="preserve">Customer Facing (Yes) </t>
  </si>
  <si>
    <t>Yes</t>
  </si>
  <si>
    <t xml:space="preserve">Full Time Equivalent % </t>
  </si>
  <si>
    <t>Cost  per person per day
 (on the basis of 218 working days)</t>
  </si>
  <si>
    <t>Fixed Cost  Total</t>
  </si>
  <si>
    <t>SENIOR PROJECT MANAGEMENT ACTIVITY - OPTIONAL</t>
  </si>
  <si>
    <t xml:space="preserve">1 JUNIOR TRAINING SPECIALIST ACTIVITY - OPTIONAl </t>
  </si>
  <si>
    <t>1 JUNIOR TRAINING SPECIALIST ACTIVITY - OPTIONAL</t>
  </si>
  <si>
    <t xml:space="preserve">Yes </t>
  </si>
  <si>
    <t>SUPPORTING ROLES Included in deliverables cost</t>
  </si>
  <si>
    <t>4 PROJECT MANAGERS (COORDINATORS)</t>
  </si>
  <si>
    <t>AGENCY INTERNAL EXPERT</t>
  </si>
  <si>
    <t>3rd PARTY EXPERTS</t>
  </si>
  <si>
    <t xml:space="preserve">Customer Facing ( Yes) </t>
  </si>
  <si>
    <t>yes</t>
  </si>
  <si>
    <t xml:space="preserve">Total  Cost  Fixed </t>
  </si>
  <si>
    <t>If needed ; Variable Cost per day</t>
  </si>
  <si>
    <t>January-February-March</t>
  </si>
  <si>
    <t>1st quarter 2025</t>
  </si>
  <si>
    <t>COST X DAY (€)</t>
  </si>
  <si>
    <t>ACTIVITY</t>
  </si>
  <si>
    <t>D'Aquino</t>
  </si>
  <si>
    <t>Purchase order 31381147:  Ex F Product training development - Fixe</t>
  </si>
  <si>
    <t>April</t>
  </si>
  <si>
    <t>Barbirato</t>
  </si>
  <si>
    <t>SENIOR PROJECT MANAGEMENT ACTIVITY
(Stefano Genovesio)</t>
  </si>
  <si>
    <t>KOINE 013/2025 March</t>
  </si>
  <si>
    <t>KOINE 015/2025 April</t>
  </si>
  <si>
    <t>KOINE 019/2025 May-June</t>
  </si>
  <si>
    <t>April May June</t>
  </si>
  <si>
    <t>2st quarter 2025</t>
  </si>
  <si>
    <t>May - June - july</t>
  </si>
  <si>
    <t>KOINE 024/2025 Sept</t>
  </si>
  <si>
    <t>3rd quarter 2025</t>
  </si>
  <si>
    <t>October- November-December</t>
  </si>
  <si>
    <t>July- August-September</t>
  </si>
  <si>
    <t>August-September</t>
  </si>
  <si>
    <t>SENIOR PROJECT MANAGEMENT ACTIVITY - 2</t>
  </si>
  <si>
    <t>??</t>
  </si>
  <si>
    <t>Invoices issued by Koinè</t>
  </si>
  <si>
    <t>HOTEL</t>
  </si>
  <si>
    <t>Invoice issued</t>
  </si>
  <si>
    <t>Cena</t>
  </si>
  <si>
    <t>Train</t>
  </si>
  <si>
    <t>Hotel</t>
  </si>
  <si>
    <t>deca</t>
  </si>
  <si>
    <t>March</t>
  </si>
  <si>
    <t>4+20+21</t>
  </si>
  <si>
    <t>20+20+23</t>
  </si>
  <si>
    <t>20+20+20</t>
  </si>
  <si>
    <t>11+21</t>
  </si>
  <si>
    <t>crivellati</t>
  </si>
  <si>
    <t>genovesio</t>
  </si>
  <si>
    <t>Cena Bigi</t>
  </si>
  <si>
    <t xml:space="preserve">CRIVELLARI FRANCE </t>
  </si>
  <si>
    <t xml:space="preserve">CRIVELLARI ROME </t>
  </si>
  <si>
    <t>flight</t>
  </si>
  <si>
    <t>AMOUNT</t>
  </si>
  <si>
    <t>Sundry expenses</t>
  </si>
  <si>
    <t>Remaining amount  of the order</t>
  </si>
  <si>
    <t>KOINE 021/2025 August</t>
  </si>
  <si>
    <t>KOINE 025/2025 Oct</t>
  </si>
  <si>
    <t>JUNIOR PROJECT MANAGEMENT ACTIVITY
(Lavinia Crivellari)</t>
  </si>
  <si>
    <t>JUNIOR  PROJECT MANAGEMENT ACTIVITY
(Lavinia Crivellari)</t>
  </si>
  <si>
    <t>A Frederic</t>
  </si>
  <si>
    <t>mettere + alavinia</t>
  </si>
  <si>
    <t>aggiunte 3 gg</t>
  </si>
  <si>
    <t>aggiunte 4 ogg</t>
  </si>
  <si>
    <t>23+20+20</t>
  </si>
  <si>
    <t>KOINE 029/2025 Nov Dec</t>
  </si>
  <si>
    <t>January</t>
  </si>
  <si>
    <t>February</t>
  </si>
  <si>
    <t>23+20+5</t>
  </si>
  <si>
    <t>ORDER</t>
  </si>
  <si>
    <t>INVOICEs issued</t>
  </si>
  <si>
    <t>Total 2025 amount to be invoiced</t>
  </si>
  <si>
    <t xml:space="preserve">Total 2025 amount </t>
  </si>
  <si>
    <t>inseriti in lavinia</t>
  </si>
  <si>
    <t>4th quarter 2025</t>
  </si>
  <si>
    <t>PRICE (€)</t>
  </si>
  <si>
    <t xml:space="preserve">KOINE 002/2026 </t>
  </si>
  <si>
    <t>Total amount 1ST months 2026 reale</t>
  </si>
  <si>
    <t xml:space="preserve">totale reale </t>
  </si>
  <si>
    <t>RESTO DI ORDINE a credito x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</si>
</sst>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</font>
    <font>
      <b/>
      <sz val="12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1" xfId="0" applyNumberFormat="1" applyBorder="1" applyAlignment="1">
      <alignment wrapText="1"/>
    </xf>
    <xf numFmtId="0" fontId="6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wrapText="1"/>
    </xf>
    <xf numFmtId="4" fontId="0" fillId="0" borderId="9" xfId="0" applyNumberFormat="1" applyBorder="1" applyAlignment="1">
      <alignment wrapText="1"/>
    </xf>
    <xf numFmtId="0" fontId="0" fillId="0" borderId="9" xfId="0" applyBorder="1" applyAlignment="1">
      <alignment wrapText="1"/>
    </xf>
    <xf numFmtId="4" fontId="7" fillId="0" borderId="4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wrapText="1"/>
    </xf>
    <xf numFmtId="4" fontId="8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9" fontId="0" fillId="0" borderId="0" xfId="0" applyNumberFormat="1" applyAlignment="1">
      <alignment wrapText="1"/>
    </xf>
    <xf numFmtId="4" fontId="5" fillId="0" borderId="0" xfId="0" applyNumberFormat="1" applyFont="1" applyAlignment="1">
      <alignment wrapText="1"/>
    </xf>
    <xf numFmtId="4" fontId="8" fillId="0" borderId="2" xfId="0" applyNumberFormat="1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4" borderId="0" xfId="0" applyFill="1" applyAlignment="1">
      <alignment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6" fillId="4" borderId="0" xfId="0" applyFont="1" applyFill="1" applyAlignment="1">
      <alignment wrapText="1"/>
    </xf>
    <xf numFmtId="4" fontId="6" fillId="4" borderId="0" xfId="0" applyNumberFormat="1" applyFont="1" applyFill="1" applyAlignment="1">
      <alignment wrapText="1"/>
    </xf>
    <xf numFmtId="0" fontId="0" fillId="0" borderId="13" xfId="0" applyBorder="1" applyAlignment="1">
      <alignment wrapText="1"/>
    </xf>
    <xf numFmtId="4" fontId="0" fillId="0" borderId="13" xfId="0" applyNumberFormat="1" applyBorder="1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1" fillId="5" borderId="14" xfId="0" applyFont="1" applyFill="1" applyBorder="1" applyAlignment="1">
      <alignment horizontal="left" vertical="top" wrapText="1" readingOrder="1"/>
    </xf>
    <xf numFmtId="0" fontId="12" fillId="5" borderId="14" xfId="0" applyFont="1" applyFill="1" applyBorder="1" applyAlignment="1">
      <alignment vertical="top" wrapText="1"/>
    </xf>
    <xf numFmtId="4" fontId="11" fillId="5" borderId="14" xfId="0" applyNumberFormat="1" applyFont="1" applyFill="1" applyBorder="1" applyAlignment="1">
      <alignment horizontal="right" vertical="top" wrapText="1" readingOrder="1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9" fontId="0" fillId="6" borderId="1" xfId="0" applyNumberFormat="1" applyFill="1" applyBorder="1" applyAlignment="1">
      <alignment wrapText="1"/>
    </xf>
    <xf numFmtId="4" fontId="8" fillId="6" borderId="2" xfId="0" applyNumberFormat="1" applyFont="1" applyFill="1" applyBorder="1" applyAlignment="1">
      <alignment wrapText="1"/>
    </xf>
    <xf numFmtId="0" fontId="0" fillId="6" borderId="6" xfId="0" applyFill="1" applyBorder="1" applyAlignment="1">
      <alignment wrapText="1"/>
    </xf>
    <xf numFmtId="4" fontId="13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9" fillId="0" borderId="0" xfId="0" applyFont="1" applyAlignment="1">
      <alignment wrapText="1"/>
    </xf>
    <xf numFmtId="4" fontId="9" fillId="0" borderId="0" xfId="0" applyNumberFormat="1" applyFont="1" applyAlignment="1">
      <alignment wrapText="1"/>
    </xf>
    <xf numFmtId="4" fontId="15" fillId="0" borderId="0" xfId="0" applyNumberFormat="1" applyFont="1" applyAlignment="1">
      <alignment vertical="top"/>
    </xf>
    <xf numFmtId="4" fontId="6" fillId="0" borderId="0" xfId="0" applyNumberFormat="1" applyFont="1" applyAlignment="1">
      <alignment wrapText="1"/>
    </xf>
    <xf numFmtId="4" fontId="16" fillId="0" borderId="0" xfId="0" applyNumberFormat="1" applyFont="1" applyAlignment="1">
      <alignment wrapText="1"/>
    </xf>
    <xf numFmtId="0" fontId="17" fillId="0" borderId="0" xfId="0" applyFont="1" applyAlignment="1">
      <alignment wrapText="1"/>
    </xf>
    <xf numFmtId="2" fontId="0" fillId="0" borderId="0" xfId="0" applyNumberFormat="1" applyAlignment="1">
      <alignment wrapText="1"/>
    </xf>
    <xf numFmtId="2" fontId="0" fillId="0" borderId="13" xfId="0" applyNumberFormat="1" applyBorder="1" applyAlignment="1">
      <alignment wrapText="1"/>
    </xf>
    <xf numFmtId="2" fontId="6" fillId="0" borderId="0" xfId="0" applyNumberFormat="1" applyFont="1" applyAlignment="1">
      <alignment wrapText="1"/>
    </xf>
    <xf numFmtId="4" fontId="9" fillId="0" borderId="13" xfId="0" applyNumberFormat="1" applyFont="1" applyBorder="1" applyAlignment="1">
      <alignment wrapText="1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4" fontId="18" fillId="0" borderId="0" xfId="0" applyNumberFormat="1" applyFont="1" applyAlignment="1">
      <alignment vertical="top"/>
    </xf>
    <xf numFmtId="0" fontId="19" fillId="5" borderId="15" xfId="0" applyFont="1" applyFill="1" applyBorder="1" applyAlignment="1">
      <alignment horizontal="left" vertical="top" wrapText="1" readingOrder="1"/>
    </xf>
    <xf numFmtId="4" fontId="19" fillId="5" borderId="15" xfId="0" applyNumberFormat="1" applyFont="1" applyFill="1" applyBorder="1" applyAlignment="1">
      <alignment horizontal="right" vertical="top" wrapText="1" readingOrder="1"/>
    </xf>
    <xf numFmtId="0" fontId="19" fillId="5" borderId="16" xfId="0" applyFont="1" applyFill="1" applyBorder="1" applyAlignment="1">
      <alignment horizontal="left" vertical="top" wrapText="1" readingOrder="1"/>
    </xf>
    <xf numFmtId="4" fontId="19" fillId="5" borderId="0" xfId="0" applyNumberFormat="1" applyFont="1" applyFill="1" applyAlignment="1">
      <alignment horizontal="right" vertical="top" wrapText="1" readingOrder="1"/>
    </xf>
    <xf numFmtId="4" fontId="17" fillId="0" borderId="0" xfId="0" applyNumberFormat="1" applyFont="1" applyAlignment="1">
      <alignment wrapText="1"/>
    </xf>
    <xf numFmtId="0" fontId="19" fillId="5" borderId="0" xfId="0" applyFont="1" applyFill="1" applyAlignment="1">
      <alignment vertical="top" wrapText="1"/>
    </xf>
    <xf numFmtId="4" fontId="5" fillId="0" borderId="1" xfId="0" applyNumberFormat="1" applyFont="1" applyBorder="1" applyAlignment="1">
      <alignment vertical="center" wrapText="1"/>
    </xf>
    <xf numFmtId="4" fontId="20" fillId="0" borderId="0" xfId="0" applyNumberFormat="1" applyFont="1" applyAlignment="1">
      <alignment vertical="top"/>
    </xf>
    <xf numFmtId="0" fontId="9" fillId="6" borderId="0" xfId="0" applyFont="1" applyFill="1" applyAlignment="1">
      <alignment wrapText="1"/>
    </xf>
    <xf numFmtId="4" fontId="9" fillId="6" borderId="0" xfId="0" applyNumberFormat="1" applyFont="1" applyFill="1" applyAlignment="1">
      <alignment wrapText="1"/>
    </xf>
    <xf numFmtId="4" fontId="15" fillId="6" borderId="0" xfId="0" applyNumberFormat="1" applyFont="1" applyFill="1" applyAlignment="1">
      <alignment vertical="top"/>
    </xf>
    <xf numFmtId="0" fontId="6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19" fillId="5" borderId="15" xfId="0" applyFont="1" applyFill="1" applyBorder="1" applyAlignment="1">
      <alignment vertical="top" wrapText="1"/>
    </xf>
    <xf numFmtId="0" fontId="19" fillId="5" borderId="17" xfId="0" applyFont="1" applyFill="1" applyBorder="1" applyAlignment="1">
      <alignment vertical="top" wrapText="1"/>
    </xf>
    <xf numFmtId="0" fontId="19" fillId="5" borderId="18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573796</xdr:colOff>
      <xdr:row>41</xdr:row>
      <xdr:rowOff>206566</xdr:rowOff>
    </xdr:from>
    <xdr:to>
      <xdr:col>12</xdr:col>
      <xdr:colOff>522155</xdr:colOff>
      <xdr:row>59</xdr:row>
      <xdr:rowOff>23181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64E7F9A-EAA3-1567-2929-8185B8589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1" y="14012078"/>
          <a:ext cx="8096250" cy="37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9CE1-0212-4EA3-8DF3-6185CA16FDEB}">
  <sheetPr>
    <pageSetUpPr fitToPage="1"/>
  </sheetPr>
  <dimension ref="A1:T85"/>
  <sheetViews>
    <sheetView tabSelected="1" topLeftCell="A51" zoomScale="83" zoomScaleNormal="83" workbookViewId="0">
      <selection activeCell="B65" sqref="B65:D65"/>
    </sheetView>
  </sheetViews>
  <sheetFormatPr defaultColWidth="8.85546875" defaultRowHeight="15" x14ac:dyDescent="0.25"/>
  <cols>
    <col min="1" max="1" width="21.140625" style="2" customWidth="1"/>
    <col min="2" max="2" width="38.42578125" style="2" customWidth="1"/>
    <col min="3" max="3" width="17.7109375" style="2" customWidth="1"/>
    <col min="4" max="4" width="16.7109375" style="2" customWidth="1"/>
    <col min="5" max="5" width="11.7109375" style="2" customWidth="1"/>
    <col min="6" max="6" width="13.7109375" style="2" customWidth="1"/>
    <col min="7" max="7" width="22.5703125" style="2" customWidth="1"/>
    <col min="8" max="9" width="21.28515625" style="2" customWidth="1"/>
    <col min="10" max="10" width="16.42578125" style="2" customWidth="1"/>
    <col min="11" max="11" width="18" style="2" customWidth="1"/>
    <col min="12" max="16384" width="8.85546875" style="2"/>
  </cols>
  <sheetData>
    <row r="1" spans="1:20" x14ac:dyDescent="0.25">
      <c r="K1" s="2" t="s">
        <v>56</v>
      </c>
    </row>
    <row r="2" spans="1:20" s="36" customFormat="1" x14ac:dyDescent="0.25">
      <c r="A2" s="80" t="s">
        <v>33</v>
      </c>
      <c r="B2" s="81"/>
      <c r="C2" s="81"/>
      <c r="D2" s="81"/>
      <c r="E2" s="81"/>
      <c r="F2" s="81"/>
      <c r="G2" s="37">
        <v>238500</v>
      </c>
    </row>
    <row r="3" spans="1:20" s="30" customFormat="1" x14ac:dyDescent="0.25"/>
    <row r="4" spans="1:20" ht="18.600000000000001" customHeight="1" x14ac:dyDescent="0.25">
      <c r="A4" s="86" t="s">
        <v>0</v>
      </c>
      <c r="B4" s="86" t="s">
        <v>31</v>
      </c>
      <c r="C4" s="86" t="s">
        <v>1</v>
      </c>
      <c r="D4" s="85" t="s">
        <v>30</v>
      </c>
      <c r="E4" s="86" t="s">
        <v>2</v>
      </c>
      <c r="F4" s="86" t="s">
        <v>3</v>
      </c>
      <c r="G4" s="85" t="s">
        <v>4</v>
      </c>
      <c r="H4" s="28"/>
      <c r="I4" s="28"/>
      <c r="J4" s="28"/>
      <c r="K4" s="28"/>
      <c r="L4" s="28"/>
      <c r="M4" s="28"/>
      <c r="N4" s="28"/>
      <c r="O4" s="29"/>
      <c r="P4" s="29"/>
      <c r="Q4" s="29"/>
      <c r="R4" s="29"/>
      <c r="S4" s="29"/>
      <c r="T4" s="29"/>
    </row>
    <row r="5" spans="1:20" ht="3" customHeight="1" x14ac:dyDescent="0.25">
      <c r="A5" s="86"/>
      <c r="B5" s="86"/>
      <c r="C5" s="86"/>
      <c r="D5" s="85"/>
      <c r="E5" s="86"/>
      <c r="F5" s="86"/>
      <c r="G5" s="85"/>
      <c r="H5" s="28"/>
      <c r="I5" s="28"/>
      <c r="J5" s="28"/>
      <c r="K5" s="28"/>
      <c r="L5" s="28"/>
      <c r="M5" s="28"/>
      <c r="N5" s="28"/>
      <c r="O5" s="29"/>
      <c r="P5" s="29"/>
      <c r="Q5" s="29"/>
      <c r="R5" s="29"/>
      <c r="S5" s="29"/>
      <c r="T5" s="29"/>
    </row>
    <row r="6" spans="1:20" s="33" customFormat="1" ht="30" x14ac:dyDescent="0.25">
      <c r="A6" s="31" t="s">
        <v>28</v>
      </c>
      <c r="B6" s="31" t="s">
        <v>8</v>
      </c>
      <c r="C6" s="31" t="s">
        <v>29</v>
      </c>
      <c r="D6" s="31"/>
      <c r="E6" s="32"/>
      <c r="F6" s="32"/>
      <c r="G6" s="32">
        <v>20000</v>
      </c>
    </row>
    <row r="7" spans="1:20" s="33" customFormat="1" ht="30" x14ac:dyDescent="0.25">
      <c r="A7" s="31" t="s">
        <v>28</v>
      </c>
      <c r="B7" s="31" t="s">
        <v>73</v>
      </c>
      <c r="C7" s="34" t="s">
        <v>58</v>
      </c>
      <c r="D7" s="31">
        <v>295.18</v>
      </c>
      <c r="E7" s="32">
        <f>45*D7</f>
        <v>13283.1</v>
      </c>
      <c r="F7" s="35" t="s">
        <v>32</v>
      </c>
      <c r="G7" s="32">
        <f>E7</f>
        <v>13283.1</v>
      </c>
      <c r="J7" s="33">
        <f>4+20+21</f>
        <v>45</v>
      </c>
    </row>
    <row r="8" spans="1:20" s="33" customFormat="1" ht="30" x14ac:dyDescent="0.25">
      <c r="A8" s="31" t="s">
        <v>57</v>
      </c>
      <c r="B8" s="31" t="s">
        <v>36</v>
      </c>
      <c r="C8" s="34">
        <v>6</v>
      </c>
      <c r="D8" s="31">
        <v>363.53</v>
      </c>
      <c r="E8" s="32">
        <f>C8*D8</f>
        <v>2181.1799999999998</v>
      </c>
      <c r="F8" s="35" t="s">
        <v>35</v>
      </c>
      <c r="G8" s="32">
        <f>E8</f>
        <v>2181.1799999999998</v>
      </c>
      <c r="H8" s="41">
        <f>SUM(G6:G8)</f>
        <v>35464.28</v>
      </c>
      <c r="I8" s="41">
        <v>35268.65</v>
      </c>
      <c r="J8" s="33">
        <v>6</v>
      </c>
    </row>
    <row r="10" spans="1:20" s="33" customFormat="1" ht="30" x14ac:dyDescent="0.25">
      <c r="A10" s="31" t="s">
        <v>34</v>
      </c>
      <c r="B10" s="31" t="s">
        <v>74</v>
      </c>
      <c r="C10" s="34">
        <v>21</v>
      </c>
      <c r="D10" s="31">
        <v>295.18</v>
      </c>
      <c r="E10" s="32">
        <f>C10*D10</f>
        <v>6198.78</v>
      </c>
      <c r="F10" s="35" t="s">
        <v>32</v>
      </c>
      <c r="G10" s="32">
        <f>E10</f>
        <v>6198.78</v>
      </c>
      <c r="J10" s="33">
        <f>17</f>
        <v>17</v>
      </c>
      <c r="K10" s="33" t="s">
        <v>78</v>
      </c>
      <c r="L10" s="33">
        <v>21</v>
      </c>
    </row>
    <row r="11" spans="1:20" s="33" customFormat="1" ht="30" x14ac:dyDescent="0.25">
      <c r="A11" s="31" t="s">
        <v>34</v>
      </c>
      <c r="B11" s="31" t="s">
        <v>36</v>
      </c>
      <c r="C11" s="34">
        <v>20</v>
      </c>
      <c r="D11" s="31">
        <v>363.53</v>
      </c>
      <c r="E11" s="32">
        <f>C11*D11</f>
        <v>7270.5999999999995</v>
      </c>
      <c r="F11" s="35" t="s">
        <v>35</v>
      </c>
      <c r="G11" s="32">
        <f>E11</f>
        <v>7270.5999999999995</v>
      </c>
      <c r="H11" s="41">
        <f>SUM(G10:G11)</f>
        <v>13469.38</v>
      </c>
      <c r="I11" s="41">
        <v>12288.66</v>
      </c>
      <c r="J11" s="33">
        <v>20</v>
      </c>
    </row>
    <row r="12" spans="1:20" s="38" customFormat="1" x14ac:dyDescent="0.25">
      <c r="C12" s="39"/>
    </row>
    <row r="13" spans="1:20" s="33" customFormat="1" ht="30" x14ac:dyDescent="0.25">
      <c r="A13" s="31" t="s">
        <v>40</v>
      </c>
      <c r="B13" s="31" t="s">
        <v>8</v>
      </c>
      <c r="C13" s="31" t="s">
        <v>41</v>
      </c>
      <c r="D13" s="31"/>
      <c r="E13" s="32"/>
      <c r="F13" s="32"/>
      <c r="G13" s="32">
        <v>20000</v>
      </c>
    </row>
    <row r="14" spans="1:20" s="33" customFormat="1" ht="30" x14ac:dyDescent="0.25">
      <c r="A14" s="31" t="s">
        <v>42</v>
      </c>
      <c r="B14" s="31" t="s">
        <v>73</v>
      </c>
      <c r="C14" s="34" t="s">
        <v>59</v>
      </c>
      <c r="D14" s="31">
        <v>295.18</v>
      </c>
      <c r="E14" s="32">
        <f>D14*63</f>
        <v>18596.34</v>
      </c>
      <c r="F14" s="35" t="s">
        <v>32</v>
      </c>
      <c r="G14" s="32">
        <f>E14</f>
        <v>18596.34</v>
      </c>
      <c r="J14" s="33">
        <f>20+20+23</f>
        <v>63</v>
      </c>
    </row>
    <row r="15" spans="1:20" s="33" customFormat="1" ht="30" x14ac:dyDescent="0.25">
      <c r="A15" s="31" t="s">
        <v>42</v>
      </c>
      <c r="B15" s="31" t="s">
        <v>36</v>
      </c>
      <c r="C15" s="34" t="s">
        <v>60</v>
      </c>
      <c r="D15" s="31">
        <v>363.53</v>
      </c>
      <c r="E15" s="32">
        <f>D15*60</f>
        <v>21811.8</v>
      </c>
      <c r="F15" s="35" t="s">
        <v>35</v>
      </c>
      <c r="G15" s="32">
        <f>E15</f>
        <v>21811.8</v>
      </c>
      <c r="H15" s="41">
        <f>SUM(G13:G15)</f>
        <v>60408.14</v>
      </c>
      <c r="I15" s="41">
        <v>71692.69</v>
      </c>
      <c r="J15" s="33">
        <f>20+20+20</f>
        <v>60</v>
      </c>
      <c r="K15" s="41"/>
    </row>
    <row r="16" spans="1:20" s="33" customFormat="1" x14ac:dyDescent="0.25">
      <c r="C16" s="40"/>
      <c r="E16" s="41"/>
      <c r="F16" s="42"/>
      <c r="G16" s="41"/>
      <c r="K16" s="41"/>
    </row>
    <row r="17" spans="1:20" x14ac:dyDescent="0.25">
      <c r="G17" s="25"/>
    </row>
    <row r="18" spans="1:20" ht="18.600000000000001" customHeight="1" x14ac:dyDescent="0.25">
      <c r="A18" s="49" t="s">
        <v>0</v>
      </c>
      <c r="B18" s="49" t="s">
        <v>31</v>
      </c>
      <c r="C18" s="49" t="s">
        <v>1</v>
      </c>
      <c r="D18" s="50" t="s">
        <v>30</v>
      </c>
      <c r="E18" s="49" t="s">
        <v>2</v>
      </c>
      <c r="F18" s="49" t="s">
        <v>3</v>
      </c>
      <c r="G18" s="50"/>
      <c r="H18" s="28"/>
      <c r="I18" s="28"/>
      <c r="J18" s="28"/>
      <c r="K18" s="28"/>
      <c r="L18" s="28"/>
      <c r="M18" s="28"/>
      <c r="N18" s="28"/>
      <c r="O18" s="29"/>
      <c r="P18" s="29"/>
      <c r="Q18" s="29"/>
      <c r="R18" s="29"/>
      <c r="S18" s="29"/>
      <c r="T18" s="29"/>
    </row>
    <row r="19" spans="1:20" s="33" customFormat="1" ht="46.9" customHeight="1" x14ac:dyDescent="0.25">
      <c r="A19" s="31" t="s">
        <v>46</v>
      </c>
      <c r="B19" s="31" t="s">
        <v>8</v>
      </c>
      <c r="C19" s="31" t="s">
        <v>44</v>
      </c>
      <c r="D19" s="31"/>
      <c r="E19" s="32"/>
      <c r="F19" s="32"/>
      <c r="G19" s="32">
        <v>20000</v>
      </c>
    </row>
    <row r="20" spans="1:20" s="33" customFormat="1" ht="62.45" customHeight="1" x14ac:dyDescent="0.25">
      <c r="A20" s="31" t="s">
        <v>47</v>
      </c>
      <c r="B20" s="31" t="s">
        <v>74</v>
      </c>
      <c r="C20" s="34" t="s">
        <v>61</v>
      </c>
      <c r="D20" s="31">
        <v>295.18</v>
      </c>
      <c r="E20" s="32">
        <f>32*D20</f>
        <v>9445.76</v>
      </c>
      <c r="F20" s="35" t="s">
        <v>32</v>
      </c>
      <c r="G20" s="32">
        <f>E20</f>
        <v>9445.76</v>
      </c>
      <c r="I20" s="41">
        <v>23850</v>
      </c>
      <c r="J20" s="33">
        <f>11+21</f>
        <v>32</v>
      </c>
    </row>
    <row r="21" spans="1:20" s="33" customFormat="1" ht="57" customHeight="1" x14ac:dyDescent="0.25">
      <c r="A21" s="31" t="s">
        <v>47</v>
      </c>
      <c r="B21" s="31" t="s">
        <v>36</v>
      </c>
      <c r="C21" s="34" t="s">
        <v>61</v>
      </c>
      <c r="D21" s="31">
        <v>363.53</v>
      </c>
      <c r="E21" s="32">
        <f>D21*32</f>
        <v>11632.96</v>
      </c>
      <c r="F21" s="35" t="s">
        <v>35</v>
      </c>
      <c r="G21" s="32">
        <f>E21</f>
        <v>11632.96</v>
      </c>
      <c r="H21" s="41">
        <f>SUM(G19:G21)</f>
        <v>41078.720000000001</v>
      </c>
      <c r="I21" s="41">
        <v>23850</v>
      </c>
      <c r="J21" s="33">
        <f>11+21</f>
        <v>32</v>
      </c>
      <c r="K21" s="41"/>
    </row>
    <row r="22" spans="1:20" x14ac:dyDescent="0.25">
      <c r="G22" s="25"/>
      <c r="I22" s="41">
        <v>23850</v>
      </c>
    </row>
    <row r="23" spans="1:20" s="33" customFormat="1" ht="46.9" customHeight="1" x14ac:dyDescent="0.25">
      <c r="A23" s="31" t="s">
        <v>45</v>
      </c>
      <c r="B23" s="31" t="s">
        <v>8</v>
      </c>
      <c r="C23" s="31" t="s">
        <v>89</v>
      </c>
      <c r="D23" s="31"/>
      <c r="E23" s="32"/>
      <c r="F23" s="32"/>
      <c r="G23" s="32">
        <v>20000</v>
      </c>
    </row>
    <row r="24" spans="1:20" s="33" customFormat="1" ht="62.45" customHeight="1" x14ac:dyDescent="0.25">
      <c r="A24" s="31" t="s">
        <v>45</v>
      </c>
      <c r="B24" s="31" t="s">
        <v>73</v>
      </c>
      <c r="C24" s="34" t="s">
        <v>79</v>
      </c>
      <c r="D24" s="31">
        <v>295.18</v>
      </c>
      <c r="E24" s="32">
        <f>D24*63</f>
        <v>18596.34</v>
      </c>
      <c r="F24" s="35" t="s">
        <v>32</v>
      </c>
      <c r="G24" s="32">
        <f>E24</f>
        <v>18596.34</v>
      </c>
      <c r="J24" s="33">
        <f>23+20+20</f>
        <v>63</v>
      </c>
      <c r="K24" s="33" t="s">
        <v>77</v>
      </c>
    </row>
    <row r="25" spans="1:20" s="33" customFormat="1" ht="57" customHeight="1" x14ac:dyDescent="0.25">
      <c r="A25" s="31" t="s">
        <v>45</v>
      </c>
      <c r="B25" s="31" t="s">
        <v>36</v>
      </c>
      <c r="C25" s="34" t="s">
        <v>83</v>
      </c>
      <c r="D25" s="31">
        <v>363.53</v>
      </c>
      <c r="E25" s="32">
        <f>D25*48</f>
        <v>17449.439999999999</v>
      </c>
      <c r="F25" s="35" t="s">
        <v>35</v>
      </c>
      <c r="G25" s="75">
        <f>E25</f>
        <v>17449.439999999999</v>
      </c>
      <c r="H25" s="41">
        <f>SUM(G23:G25)</f>
        <v>56045.78</v>
      </c>
      <c r="I25" s="41">
        <v>13848.65</v>
      </c>
      <c r="J25" s="33">
        <f>23+20+5</f>
        <v>48</v>
      </c>
      <c r="K25" s="41"/>
    </row>
    <row r="26" spans="1:20" x14ac:dyDescent="0.25">
      <c r="G26" s="25"/>
      <c r="J26" s="4">
        <f>SUM(G23:G25)</f>
        <v>56045.78</v>
      </c>
    </row>
    <row r="27" spans="1:20" s="61" customFormat="1" ht="15.75" x14ac:dyDescent="0.25">
      <c r="B27" s="61" t="s">
        <v>2</v>
      </c>
      <c r="G27" s="60">
        <f>SUM(G6:G25)</f>
        <v>206466.3</v>
      </c>
      <c r="H27" s="60">
        <f>SUM(H6:H25)</f>
        <v>206466.3</v>
      </c>
      <c r="I27" s="60">
        <f>SUM(I6:I25)</f>
        <v>204648.65</v>
      </c>
      <c r="J27" s="61">
        <f>SUM(J6:J25)</f>
        <v>386</v>
      </c>
      <c r="K27" s="61" t="s">
        <v>62</v>
      </c>
      <c r="L27" s="61">
        <f>J7+J10+J14+J20+J24</f>
        <v>220</v>
      </c>
    </row>
    <row r="28" spans="1:20" x14ac:dyDescent="0.25">
      <c r="I28" s="4">
        <f>H27-I27</f>
        <v>1817.6499999999942</v>
      </c>
      <c r="K28" s="2" t="s">
        <v>63</v>
      </c>
      <c r="L28" s="2">
        <f>J8+J11+J15+J21+J25</f>
        <v>166</v>
      </c>
    </row>
    <row r="29" spans="1:20" ht="18.600000000000001" customHeight="1" x14ac:dyDescent="0.25">
      <c r="A29" s="49" t="s">
        <v>0</v>
      </c>
      <c r="B29" s="49" t="s">
        <v>31</v>
      </c>
      <c r="C29" s="49" t="s">
        <v>1</v>
      </c>
      <c r="D29" s="50" t="s">
        <v>30</v>
      </c>
      <c r="E29" s="49" t="s">
        <v>2</v>
      </c>
      <c r="F29" s="49" t="s">
        <v>3</v>
      </c>
      <c r="G29" s="50" t="s">
        <v>90</v>
      </c>
      <c r="H29" s="28"/>
      <c r="I29" s="28"/>
      <c r="J29" s="28"/>
      <c r="K29" s="28"/>
      <c r="L29" s="28"/>
      <c r="M29" s="28"/>
      <c r="N29" s="28"/>
      <c r="O29" s="29"/>
      <c r="P29" s="29"/>
      <c r="Q29" s="29"/>
      <c r="R29" s="29"/>
      <c r="S29" s="29"/>
      <c r="T29" s="29"/>
    </row>
    <row r="30" spans="1:20" s="33" customFormat="1" ht="30" x14ac:dyDescent="0.25">
      <c r="A30" s="31" t="s">
        <v>81</v>
      </c>
      <c r="B30" s="31" t="s">
        <v>73</v>
      </c>
      <c r="C30" s="34">
        <v>19</v>
      </c>
      <c r="D30" s="31">
        <v>295.18</v>
      </c>
      <c r="E30" s="32">
        <f>C30*D30</f>
        <v>5608.42</v>
      </c>
      <c r="F30" s="35" t="s">
        <v>32</v>
      </c>
      <c r="G30" s="32">
        <f>E30</f>
        <v>5608.42</v>
      </c>
      <c r="J30" s="33">
        <f>4+20+21</f>
        <v>45</v>
      </c>
    </row>
    <row r="31" spans="1:20" s="33" customFormat="1" ht="30" x14ac:dyDescent="0.25">
      <c r="A31" s="31" t="s">
        <v>82</v>
      </c>
      <c r="B31" s="31" t="s">
        <v>73</v>
      </c>
      <c r="C31" s="34">
        <v>20</v>
      </c>
      <c r="D31" s="31">
        <v>295.18</v>
      </c>
      <c r="E31" s="32">
        <f>C31*D31</f>
        <v>5903.6</v>
      </c>
      <c r="F31" s="35" t="s">
        <v>32</v>
      </c>
      <c r="G31" s="32">
        <f>E31</f>
        <v>5903.6</v>
      </c>
      <c r="H31" s="41"/>
      <c r="J31" s="33">
        <f>4+20+21</f>
        <v>45</v>
      </c>
    </row>
    <row r="32" spans="1:20" s="33" customFormat="1" ht="30" x14ac:dyDescent="0.25">
      <c r="A32" s="31" t="s">
        <v>28</v>
      </c>
      <c r="B32" s="31" t="s">
        <v>8</v>
      </c>
      <c r="C32" s="31" t="s">
        <v>29</v>
      </c>
      <c r="D32" s="31"/>
      <c r="E32" s="32"/>
      <c r="F32" s="32"/>
      <c r="G32" s="32">
        <v>20000</v>
      </c>
      <c r="H32" s="41">
        <f>SUM(G30:G32)</f>
        <v>31512.02</v>
      </c>
    </row>
    <row r="34" spans="1:20" ht="24.75" customHeight="1" x14ac:dyDescent="0.25"/>
    <row r="35" spans="1:20" ht="18.600000000000001" customHeight="1" x14ac:dyDescent="0.25">
      <c r="A35" s="49" t="s">
        <v>0</v>
      </c>
      <c r="B35" s="49" t="s">
        <v>31</v>
      </c>
      <c r="C35" s="49" t="s">
        <v>1</v>
      </c>
      <c r="D35" s="50" t="s">
        <v>30</v>
      </c>
      <c r="E35" s="49" t="s">
        <v>2</v>
      </c>
      <c r="F35" s="49" t="s">
        <v>3</v>
      </c>
      <c r="G35" s="50" t="s">
        <v>90</v>
      </c>
      <c r="H35" s="28"/>
      <c r="I35" s="28"/>
      <c r="J35" s="28"/>
      <c r="K35" s="28"/>
      <c r="L35" s="28"/>
      <c r="M35" s="28"/>
      <c r="N35" s="28"/>
      <c r="O35" s="29"/>
      <c r="P35" s="29"/>
      <c r="Q35" s="29"/>
      <c r="R35" s="29"/>
      <c r="S35" s="29"/>
      <c r="T35" s="29"/>
    </row>
    <row r="37" spans="1:20" s="33" customFormat="1" ht="30" x14ac:dyDescent="0.25">
      <c r="A37" s="31" t="s">
        <v>28</v>
      </c>
      <c r="B37" s="31" t="s">
        <v>8</v>
      </c>
      <c r="C37" s="31" t="s">
        <v>29</v>
      </c>
      <c r="D37" s="31"/>
      <c r="E37" s="32"/>
      <c r="F37" s="32"/>
      <c r="G37" s="32">
        <v>20000</v>
      </c>
    </row>
    <row r="38" spans="1:20" s="33" customFormat="1" ht="30" x14ac:dyDescent="0.25">
      <c r="A38" s="31" t="s">
        <v>57</v>
      </c>
      <c r="B38" s="31" t="s">
        <v>73</v>
      </c>
      <c r="C38" s="34">
        <v>22</v>
      </c>
      <c r="D38" s="31">
        <v>295.18</v>
      </c>
      <c r="E38" s="32">
        <f>C38*D38</f>
        <v>6493.96</v>
      </c>
      <c r="F38" s="35" t="s">
        <v>32</v>
      </c>
      <c r="G38" s="32">
        <f>E38</f>
        <v>6493.96</v>
      </c>
      <c r="H38" s="41">
        <f>SUM(G37:G38)</f>
        <v>26493.96</v>
      </c>
      <c r="I38" s="41"/>
      <c r="J38" s="33">
        <f>4+20+21</f>
        <v>45</v>
      </c>
    </row>
    <row r="39" spans="1:20" ht="39" customHeight="1" x14ac:dyDescent="0.25">
      <c r="A39" s="6" t="s">
        <v>75</v>
      </c>
      <c r="G39" s="4"/>
    </row>
    <row r="40" spans="1:20" s="36" customFormat="1" x14ac:dyDescent="0.25">
      <c r="A40" s="80" t="s">
        <v>33</v>
      </c>
      <c r="B40" s="81"/>
      <c r="C40" s="81"/>
      <c r="D40" s="81"/>
      <c r="E40" s="81"/>
      <c r="F40" s="81"/>
      <c r="G40" s="37">
        <v>238500</v>
      </c>
    </row>
    <row r="42" spans="1:20" ht="30.75" thickBot="1" x14ac:dyDescent="0.3">
      <c r="A42" s="36" t="s">
        <v>50</v>
      </c>
      <c r="B42" s="36" t="s">
        <v>50</v>
      </c>
      <c r="C42" s="6"/>
      <c r="D42" s="6"/>
      <c r="E42" s="6"/>
      <c r="F42" s="6"/>
    </row>
    <row r="43" spans="1:20" s="47" customFormat="1" ht="16.5" customHeight="1" thickBot="1" x14ac:dyDescent="0.3">
      <c r="A43" s="43"/>
      <c r="B43" s="44" t="s">
        <v>37</v>
      </c>
      <c r="C43" s="45"/>
      <c r="D43" s="46">
        <v>35268.65</v>
      </c>
      <c r="G43" s="48"/>
    </row>
    <row r="44" spans="1:20" s="47" customFormat="1" ht="15" customHeight="1" thickBot="1" x14ac:dyDescent="0.3">
      <c r="A44" s="43"/>
      <c r="B44" s="44" t="s">
        <v>38</v>
      </c>
      <c r="C44" s="45"/>
      <c r="D44" s="46">
        <v>12288.66</v>
      </c>
      <c r="G44" s="48"/>
    </row>
    <row r="45" spans="1:20" s="47" customFormat="1" x14ac:dyDescent="0.25">
      <c r="A45" s="43"/>
      <c r="B45" s="69" t="s">
        <v>39</v>
      </c>
      <c r="C45" s="82"/>
      <c r="D45" s="70">
        <v>71692.69</v>
      </c>
      <c r="G45" s="48"/>
    </row>
    <row r="46" spans="1:20" s="47" customFormat="1" ht="15.75" thickBot="1" x14ac:dyDescent="0.3">
      <c r="A46" s="43"/>
      <c r="B46" s="71" t="s">
        <v>71</v>
      </c>
      <c r="C46" s="83"/>
      <c r="D46" s="72">
        <v>23850</v>
      </c>
      <c r="G46" s="48"/>
    </row>
    <row r="47" spans="1:20" s="47" customFormat="1" ht="15.75" thickBot="1" x14ac:dyDescent="0.3">
      <c r="A47" s="43"/>
      <c r="B47" s="71" t="s">
        <v>43</v>
      </c>
      <c r="C47" s="83"/>
      <c r="D47" s="72">
        <v>23850</v>
      </c>
      <c r="G47" s="48"/>
    </row>
    <row r="48" spans="1:20" s="67" customFormat="1" ht="15.75" thickBot="1" x14ac:dyDescent="0.3">
      <c r="A48" s="66"/>
      <c r="B48" s="71" t="s">
        <v>72</v>
      </c>
      <c r="C48" s="84"/>
      <c r="D48" s="72">
        <v>23850</v>
      </c>
      <c r="G48" s="68"/>
    </row>
    <row r="49" spans="1:7" s="67" customFormat="1" ht="15.75" thickBot="1" x14ac:dyDescent="0.3">
      <c r="A49" s="66"/>
      <c r="B49" s="71" t="s">
        <v>80</v>
      </c>
      <c r="C49" s="74"/>
      <c r="D49" s="72">
        <v>13848.65</v>
      </c>
      <c r="G49" s="68"/>
    </row>
    <row r="50" spans="1:7" s="67" customFormat="1" ht="15.75" thickBot="1" x14ac:dyDescent="0.3">
      <c r="A50" s="66"/>
      <c r="B50" s="71" t="s">
        <v>91</v>
      </c>
      <c r="C50" s="74"/>
      <c r="D50" s="72">
        <v>33851.65</v>
      </c>
      <c r="G50" s="68"/>
    </row>
    <row r="51" spans="1:7" s="47" customFormat="1" ht="9" customHeight="1" x14ac:dyDescent="0.25">
      <c r="A51" s="43"/>
      <c r="F51" s="48"/>
      <c r="G51" s="48"/>
    </row>
    <row r="52" spans="1:7" s="47" customFormat="1" x14ac:dyDescent="0.25">
      <c r="A52" s="43"/>
      <c r="B52" s="2" t="s">
        <v>52</v>
      </c>
      <c r="D52" s="54">
        <f>SUM(D43:D51)</f>
        <v>238500.3</v>
      </c>
      <c r="G52" s="48"/>
    </row>
    <row r="53" spans="1:7" x14ac:dyDescent="0.25">
      <c r="G53" s="48"/>
    </row>
    <row r="54" spans="1:7" x14ac:dyDescent="0.25">
      <c r="D54" s="4"/>
      <c r="G54" s="48"/>
    </row>
    <row r="55" spans="1:7" s="56" customFormat="1" x14ac:dyDescent="0.25">
      <c r="D55" s="57"/>
      <c r="G55" s="58"/>
    </row>
    <row r="56" spans="1:7" ht="24" customHeight="1" x14ac:dyDescent="0.25">
      <c r="A56" s="36"/>
      <c r="B56" s="6" t="s">
        <v>84</v>
      </c>
      <c r="C56" s="6"/>
      <c r="D56" s="37">
        <v>238500</v>
      </c>
      <c r="E56" s="6"/>
      <c r="F56" s="6"/>
      <c r="G56" s="25"/>
    </row>
    <row r="57" spans="1:7" s="56" customFormat="1" ht="30" x14ac:dyDescent="0.25">
      <c r="B57" s="56" t="s">
        <v>85</v>
      </c>
      <c r="D57" s="65">
        <f>D52</f>
        <v>238500.3</v>
      </c>
      <c r="F57" s="56" t="s">
        <v>76</v>
      </c>
      <c r="G57" s="58">
        <f>D57/295.18</f>
        <v>807.98258689613112</v>
      </c>
    </row>
    <row r="58" spans="1:7" x14ac:dyDescent="0.25">
      <c r="A58" s="36"/>
      <c r="B58" s="6" t="s">
        <v>70</v>
      </c>
      <c r="C58" s="6"/>
      <c r="D58" s="59">
        <f>D56-D57</f>
        <v>-0.29999999998835847</v>
      </c>
      <c r="E58" s="6"/>
      <c r="F58" s="6"/>
      <c r="G58" s="25"/>
    </row>
    <row r="59" spans="1:7" s="56" customFormat="1" x14ac:dyDescent="0.25">
      <c r="D59" s="57"/>
      <c r="G59" s="58"/>
    </row>
    <row r="60" spans="1:7" s="77" customFormat="1" x14ac:dyDescent="0.25">
      <c r="B60" s="77" t="s">
        <v>87</v>
      </c>
      <c r="D60" s="78">
        <v>206466.3</v>
      </c>
      <c r="F60" s="78"/>
      <c r="G60" s="79"/>
    </row>
    <row r="61" spans="1:7" s="56" customFormat="1" x14ac:dyDescent="0.25">
      <c r="B61" s="56" t="s">
        <v>86</v>
      </c>
      <c r="D61" s="57">
        <v>1817.65</v>
      </c>
      <c r="F61" s="57"/>
      <c r="G61" s="58"/>
    </row>
    <row r="62" spans="1:7" s="56" customFormat="1" x14ac:dyDescent="0.25">
      <c r="B62" s="56" t="s">
        <v>92</v>
      </c>
      <c r="D62" s="65">
        <v>31512.02</v>
      </c>
      <c r="F62" s="57"/>
      <c r="G62" s="58"/>
    </row>
    <row r="63" spans="1:7" s="56" customFormat="1" x14ac:dyDescent="0.25">
      <c r="B63" s="56" t="s">
        <v>93</v>
      </c>
      <c r="D63" s="57">
        <f>D61+D62</f>
        <v>33329.67</v>
      </c>
      <c r="F63" s="57"/>
      <c r="G63" s="58"/>
    </row>
    <row r="64" spans="1:7" s="56" customFormat="1" x14ac:dyDescent="0.25">
      <c r="D64" s="57"/>
      <c r="F64" s="57"/>
      <c r="G64" s="58"/>
    </row>
    <row r="65" spans="1:7" s="88" customFormat="1" ht="24" customHeight="1" x14ac:dyDescent="0.25">
      <c r="B65" s="88" t="s">
        <v>94</v>
      </c>
      <c r="D65" s="25">
        <f>D50-D63</f>
        <v>521.9800000000032</v>
      </c>
      <c r="G65" s="68"/>
    </row>
    <row r="66" spans="1:7" ht="63.75" customHeight="1" x14ac:dyDescent="0.25">
      <c r="D66" s="4"/>
      <c r="G66" s="48"/>
    </row>
    <row r="67" spans="1:7" s="56" customFormat="1" ht="30" x14ac:dyDescent="0.25">
      <c r="B67" s="56" t="s">
        <v>69</v>
      </c>
      <c r="D67" s="65">
        <f>C85</f>
        <v>1888.16</v>
      </c>
      <c r="F67" s="56" t="s">
        <v>88</v>
      </c>
      <c r="G67" s="58"/>
    </row>
    <row r="68" spans="1:7" s="61" customFormat="1" x14ac:dyDescent="0.25">
      <c r="D68" s="73"/>
      <c r="G68" s="76"/>
    </row>
    <row r="69" spans="1:7" s="56" customFormat="1" x14ac:dyDescent="0.25">
      <c r="D69" s="57"/>
      <c r="G69" s="58"/>
    </row>
    <row r="71" spans="1:7" x14ac:dyDescent="0.25">
      <c r="A71" s="36"/>
      <c r="B71" s="6"/>
      <c r="C71" s="6"/>
      <c r="D71" s="6"/>
      <c r="E71" s="6"/>
      <c r="F71" s="6"/>
      <c r="G71" s="25"/>
    </row>
    <row r="72" spans="1:7" x14ac:dyDescent="0.25">
      <c r="A72" s="36" t="s">
        <v>65</v>
      </c>
      <c r="B72" s="6"/>
      <c r="C72" s="6"/>
      <c r="D72" s="6"/>
      <c r="E72" s="6"/>
      <c r="F72" s="6"/>
      <c r="G72" s="25"/>
    </row>
    <row r="73" spans="1:7" x14ac:dyDescent="0.25">
      <c r="B73" s="2" t="s">
        <v>51</v>
      </c>
      <c r="C73" s="2">
        <v>235.43</v>
      </c>
    </row>
    <row r="74" spans="1:7" x14ac:dyDescent="0.25">
      <c r="B74" s="2" t="s">
        <v>67</v>
      </c>
      <c r="C74" s="38">
        <v>667.23</v>
      </c>
    </row>
    <row r="75" spans="1:7" x14ac:dyDescent="0.25">
      <c r="C75" s="6">
        <f>C73+C74</f>
        <v>902.66000000000008</v>
      </c>
    </row>
    <row r="78" spans="1:7" x14ac:dyDescent="0.25">
      <c r="A78" s="36" t="s">
        <v>66</v>
      </c>
    </row>
    <row r="79" spans="1:7" ht="15.75" x14ac:dyDescent="0.25">
      <c r="B79" s="55" t="s">
        <v>55</v>
      </c>
      <c r="C79" s="62">
        <v>157.5</v>
      </c>
    </row>
    <row r="80" spans="1:7" x14ac:dyDescent="0.25">
      <c r="B80" s="2" t="s">
        <v>54</v>
      </c>
      <c r="C80" s="63">
        <v>153</v>
      </c>
    </row>
    <row r="81" spans="1:3" x14ac:dyDescent="0.25">
      <c r="C81" s="64">
        <f>SUM(C79:C80)</f>
        <v>310.5</v>
      </c>
    </row>
    <row r="83" spans="1:3" x14ac:dyDescent="0.25">
      <c r="A83" s="6" t="s">
        <v>64</v>
      </c>
      <c r="B83" s="2" t="s">
        <v>53</v>
      </c>
      <c r="C83" s="64">
        <v>675</v>
      </c>
    </row>
    <row r="85" spans="1:3" s="6" customFormat="1" x14ac:dyDescent="0.25">
      <c r="A85" s="6" t="s">
        <v>68</v>
      </c>
      <c r="C85" s="64">
        <f>C75+C81+C83</f>
        <v>1888.16</v>
      </c>
    </row>
  </sheetData>
  <mergeCells count="10">
    <mergeCell ref="A40:F40"/>
    <mergeCell ref="C45:C48"/>
    <mergeCell ref="G4:G5"/>
    <mergeCell ref="F4:F5"/>
    <mergeCell ref="A2:F2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EBDE-7439-4EF2-B8CB-EA375A6BD141}">
  <dimension ref="A1:I31"/>
  <sheetViews>
    <sheetView topLeftCell="A11" workbookViewId="0">
      <selection activeCell="H18" sqref="H18"/>
    </sheetView>
  </sheetViews>
  <sheetFormatPr defaultColWidth="11.42578125" defaultRowHeight="15" x14ac:dyDescent="0.25"/>
  <cols>
    <col min="1" max="1" width="11.42578125" style="2"/>
    <col min="2" max="2" width="40.85546875" style="2" customWidth="1"/>
    <col min="3" max="3" width="20.42578125" style="2" customWidth="1"/>
    <col min="4" max="4" width="19.42578125" style="2" customWidth="1"/>
    <col min="5" max="5" width="18.28515625" style="2" customWidth="1"/>
    <col min="6" max="6" width="19.7109375" style="2" customWidth="1"/>
    <col min="7" max="7" width="19.42578125" style="2" customWidth="1"/>
    <col min="8" max="8" width="14.7109375" style="2" customWidth="1"/>
    <col min="9" max="9" width="11.42578125" style="2"/>
    <col min="10" max="10" width="16.28515625" style="2" customWidth="1"/>
    <col min="11" max="16384" width="11.42578125" style="2"/>
  </cols>
  <sheetData>
    <row r="1" spans="1:9" ht="16.5" customHeight="1" x14ac:dyDescent="0.25">
      <c r="H1" s="25"/>
    </row>
    <row r="2" spans="1:9" ht="15.75" x14ac:dyDescent="0.25">
      <c r="A2" s="2" t="s">
        <v>5</v>
      </c>
      <c r="B2" s="1" t="s">
        <v>6</v>
      </c>
    </row>
    <row r="3" spans="1:9" ht="15.75" thickBot="1" x14ac:dyDescent="0.3"/>
    <row r="4" spans="1:9" ht="60.75" thickBot="1" x14ac:dyDescent="0.3">
      <c r="B4" s="17" t="s">
        <v>7</v>
      </c>
      <c r="C4" s="18" t="s">
        <v>8</v>
      </c>
      <c r="D4" s="27" t="s">
        <v>9</v>
      </c>
      <c r="E4" s="19" t="s">
        <v>10</v>
      </c>
    </row>
    <row r="5" spans="1:9" x14ac:dyDescent="0.25">
      <c r="B5" s="14" t="s">
        <v>11</v>
      </c>
      <c r="C5" s="22" t="s">
        <v>12</v>
      </c>
      <c r="D5" s="26" t="s">
        <v>12</v>
      </c>
      <c r="E5" s="16"/>
      <c r="G5" s="4"/>
      <c r="H5" s="4"/>
    </row>
    <row r="6" spans="1:9" x14ac:dyDescent="0.25">
      <c r="B6" s="7" t="s">
        <v>13</v>
      </c>
      <c r="C6" s="5">
        <v>0.5</v>
      </c>
      <c r="D6" s="5">
        <v>1</v>
      </c>
      <c r="E6" s="8"/>
    </row>
    <row r="7" spans="1:9" ht="30" x14ac:dyDescent="0.25">
      <c r="B7" s="7" t="s">
        <v>14</v>
      </c>
      <c r="C7" s="21">
        <f>80000/218</f>
        <v>366.97247706422019</v>
      </c>
      <c r="D7" s="21">
        <f>79250/218</f>
        <v>363.53211009174311</v>
      </c>
      <c r="E7" s="8"/>
      <c r="G7" s="25"/>
    </row>
    <row r="8" spans="1:9" ht="15.75" x14ac:dyDescent="0.25">
      <c r="B8" s="7" t="s">
        <v>15</v>
      </c>
      <c r="C8" s="15">
        <v>80000</v>
      </c>
      <c r="D8" s="21">
        <f>158500/2</f>
        <v>79250</v>
      </c>
      <c r="E8" s="13">
        <f>SUM(C8:D8)</f>
        <v>159250</v>
      </c>
      <c r="G8" s="4"/>
      <c r="H8" s="24"/>
    </row>
    <row r="9" spans="1:9" ht="15.75" thickBot="1" x14ac:dyDescent="0.3">
      <c r="B9" s="9"/>
      <c r="C9" s="10"/>
      <c r="D9" s="10"/>
      <c r="E9" s="11"/>
      <c r="G9" s="4"/>
    </row>
    <row r="10" spans="1:9" ht="15.75" thickBot="1" x14ac:dyDescent="0.3">
      <c r="H10" s="25"/>
    </row>
    <row r="11" spans="1:9" ht="75.75" thickBot="1" x14ac:dyDescent="0.3">
      <c r="B11" s="17" t="s">
        <v>7</v>
      </c>
      <c r="C11" s="27" t="s">
        <v>16</v>
      </c>
      <c r="D11" s="27" t="s">
        <v>17</v>
      </c>
      <c r="E11" s="27" t="s">
        <v>18</v>
      </c>
      <c r="F11" s="19" t="s">
        <v>10</v>
      </c>
    </row>
    <row r="12" spans="1:9" x14ac:dyDescent="0.25">
      <c r="B12" s="14" t="s">
        <v>11</v>
      </c>
      <c r="C12" s="26" t="s">
        <v>12</v>
      </c>
      <c r="D12" s="22" t="s">
        <v>19</v>
      </c>
      <c r="E12" s="22" t="s">
        <v>19</v>
      </c>
      <c r="F12" s="16"/>
      <c r="H12" s="4"/>
      <c r="I12" s="4"/>
    </row>
    <row r="13" spans="1:9" x14ac:dyDescent="0.25">
      <c r="B13" s="7" t="s">
        <v>13</v>
      </c>
      <c r="C13" s="5">
        <v>1</v>
      </c>
      <c r="D13" s="5">
        <v>1</v>
      </c>
      <c r="E13" s="5">
        <v>1</v>
      </c>
      <c r="F13" s="8"/>
    </row>
    <row r="14" spans="1:9" ht="30" x14ac:dyDescent="0.25">
      <c r="B14" s="7" t="s">
        <v>14</v>
      </c>
      <c r="C14" s="21">
        <f>79250/218</f>
        <v>363.53211009174311</v>
      </c>
      <c r="D14" s="15">
        <f>64350/218</f>
        <v>295.18348623853211</v>
      </c>
      <c r="E14" s="15">
        <f>64350/218</f>
        <v>295.18348623853211</v>
      </c>
      <c r="F14" s="8"/>
      <c r="H14" s="25"/>
    </row>
    <row r="15" spans="1:9" ht="15.75" x14ac:dyDescent="0.25">
      <c r="B15" s="7" t="s">
        <v>15</v>
      </c>
      <c r="C15" s="21">
        <f>158500/2</f>
        <v>79250</v>
      </c>
      <c r="D15" s="15">
        <f>128700/2</f>
        <v>64350</v>
      </c>
      <c r="E15" s="15">
        <f>128700/2</f>
        <v>64350</v>
      </c>
      <c r="F15" s="13">
        <f>SUM(C15:E15)</f>
        <v>207950</v>
      </c>
      <c r="G15" s="4">
        <f>F15+E8</f>
        <v>367200</v>
      </c>
      <c r="H15" s="4"/>
      <c r="I15" s="24"/>
    </row>
    <row r="16" spans="1:9" ht="15.75" thickBot="1" x14ac:dyDescent="0.3">
      <c r="B16" s="9"/>
      <c r="C16" s="10"/>
      <c r="D16" s="10"/>
      <c r="E16" s="10"/>
      <c r="F16" s="11"/>
      <c r="H16" s="4"/>
    </row>
    <row r="17" spans="2:9" ht="16.5" customHeight="1" thickBot="1" x14ac:dyDescent="0.3">
      <c r="H17" s="25"/>
    </row>
    <row r="18" spans="2:9" ht="75.75" thickBot="1" x14ac:dyDescent="0.3">
      <c r="B18" s="17" t="s">
        <v>7</v>
      </c>
      <c r="C18" s="27" t="s">
        <v>48</v>
      </c>
      <c r="D18" s="27" t="s">
        <v>17</v>
      </c>
      <c r="E18" s="27" t="s">
        <v>18</v>
      </c>
      <c r="F18" s="19" t="s">
        <v>10</v>
      </c>
    </row>
    <row r="19" spans="2:9" x14ac:dyDescent="0.25">
      <c r="B19" s="14" t="s">
        <v>11</v>
      </c>
      <c r="C19" s="26" t="s">
        <v>12</v>
      </c>
      <c r="D19" s="22" t="s">
        <v>19</v>
      </c>
      <c r="E19" s="22" t="s">
        <v>19</v>
      </c>
      <c r="F19" s="16"/>
      <c r="H19" s="4"/>
      <c r="I19" s="4"/>
    </row>
    <row r="20" spans="2:9" x14ac:dyDescent="0.25">
      <c r="B20" s="7" t="s">
        <v>13</v>
      </c>
      <c r="C20" s="51">
        <v>1</v>
      </c>
      <c r="D20" s="5">
        <v>1</v>
      </c>
      <c r="E20" s="5">
        <v>1</v>
      </c>
      <c r="F20" s="8"/>
    </row>
    <row r="21" spans="2:9" ht="30" x14ac:dyDescent="0.25">
      <c r="B21" s="7" t="s">
        <v>14</v>
      </c>
      <c r="C21" s="52">
        <f>98100/218</f>
        <v>450</v>
      </c>
      <c r="D21" s="15">
        <f>64350/218</f>
        <v>295.18348623853211</v>
      </c>
      <c r="E21" s="15">
        <f>64350/218</f>
        <v>295.18348623853211</v>
      </c>
      <c r="F21" s="8"/>
      <c r="G21" s="2">
        <f>450*218</f>
        <v>98100</v>
      </c>
      <c r="H21" s="25"/>
    </row>
    <row r="22" spans="2:9" ht="15.75" x14ac:dyDescent="0.25">
      <c r="B22" s="7" t="s">
        <v>15</v>
      </c>
      <c r="C22" s="52" t="s">
        <v>49</v>
      </c>
      <c r="D22" s="15">
        <f>128700/2</f>
        <v>64350</v>
      </c>
      <c r="E22" s="15">
        <f>128700/2</f>
        <v>64350</v>
      </c>
      <c r="F22" s="13">
        <f>SUM(C22:E22)</f>
        <v>128700</v>
      </c>
      <c r="G22" s="4">
        <f>F22+E15</f>
        <v>193050</v>
      </c>
      <c r="H22" s="4"/>
      <c r="I22" s="24"/>
    </row>
    <row r="23" spans="2:9" ht="15.75" thickBot="1" x14ac:dyDescent="0.3">
      <c r="B23" s="9"/>
      <c r="C23" s="53"/>
      <c r="D23" s="10"/>
      <c r="E23" s="10"/>
      <c r="F23" s="11"/>
      <c r="H23" s="4"/>
    </row>
    <row r="24" spans="2:9" s="6" customFormat="1" ht="15.75" x14ac:dyDescent="0.25">
      <c r="B24" s="87" t="s">
        <v>20</v>
      </c>
      <c r="C24" s="87"/>
      <c r="D24" s="87"/>
      <c r="E24" s="87"/>
    </row>
    <row r="25" spans="2:9" ht="15.75" thickBot="1" x14ac:dyDescent="0.3"/>
    <row r="26" spans="2:9" ht="45.75" thickBot="1" x14ac:dyDescent="0.3">
      <c r="B26" s="20" t="s">
        <v>7</v>
      </c>
      <c r="C26" s="18" t="s">
        <v>21</v>
      </c>
      <c r="D26" s="18" t="s">
        <v>22</v>
      </c>
      <c r="E26" s="23" t="s">
        <v>23</v>
      </c>
    </row>
    <row r="27" spans="2:9" x14ac:dyDescent="0.25">
      <c r="B27" s="14" t="s">
        <v>24</v>
      </c>
      <c r="C27" s="22" t="s">
        <v>25</v>
      </c>
      <c r="D27" s="22" t="s">
        <v>25</v>
      </c>
      <c r="E27" s="16"/>
    </row>
    <row r="28" spans="2:9" x14ac:dyDescent="0.25">
      <c r="B28" s="7" t="s">
        <v>13</v>
      </c>
      <c r="C28" s="5">
        <v>1</v>
      </c>
      <c r="D28" s="5">
        <v>1</v>
      </c>
      <c r="E28" s="8"/>
    </row>
    <row r="29" spans="2:9" x14ac:dyDescent="0.25">
      <c r="B29" s="7" t="s">
        <v>26</v>
      </c>
      <c r="C29" s="3">
        <v>0</v>
      </c>
      <c r="D29" s="3">
        <v>0</v>
      </c>
      <c r="E29" s="8"/>
    </row>
    <row r="30" spans="2:9" x14ac:dyDescent="0.25">
      <c r="B30" s="7"/>
      <c r="C30" s="3"/>
      <c r="D30" s="3"/>
      <c r="E30" s="8"/>
      <c r="G30" s="4"/>
    </row>
    <row r="31" spans="2:9" ht="15.75" thickBot="1" x14ac:dyDescent="0.3">
      <c r="B31" s="9" t="s">
        <v>27</v>
      </c>
      <c r="C31" s="10"/>
      <c r="D31" s="10"/>
      <c r="E31" s="12"/>
    </row>
  </sheetData>
  <mergeCells count="1">
    <mergeCell ref="B24:E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Fixed cost exF+50% Transv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cp:lastPrinted>2025-05-02T08:37:23Z</cp:lastPrinted>
  <dcterms:created xsi:type="dcterms:W3CDTF">2025-03-23T15:46:49Z</dcterms:created>
  <dcterms:modified xsi:type="dcterms:W3CDTF">2026-02-25T16:46:12Z</dcterms:modified>
</cp:coreProperties>
</file>