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KOINE ACADEMY MATERIALE\CONTI\_2026 nuovi corsi\"/>
    </mc:Choice>
  </mc:AlternateContent>
  <xr:revisionPtr revIDLastSave="0" documentId="13_ncr:1_{247E0C6B-8D80-41D5-BF91-8F798161CBEB}" xr6:coauthVersionLast="47" xr6:coauthVersionMax="47" xr10:uidLastSave="{00000000-0000-0000-0000-000000000000}"/>
  <bookViews>
    <workbookView xWindow="15975" yWindow="5235" windowWidth="17985" windowHeight="15960" xr2:uid="{02F4AEDC-2386-46CC-9032-867A73B3E500}"/>
  </bookViews>
  <sheets>
    <sheet name="Foglio1" sheetId="1" r:id="rId1"/>
    <sheet name="Fixed cost exF+50% Transv" sheetId="2" r:id="rId2"/>
  </sheets>
  <definedNames>
    <definedName name="_xlnm.Print_Area" localSheetId="0">Foglio1!$A$1:$H$24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" l="1"/>
  <c r="E61" i="1"/>
  <c r="C75" i="1"/>
  <c r="C79" i="1" s="1"/>
  <c r="E51" i="1" l="1"/>
  <c r="G51" i="1" s="1"/>
  <c r="E50" i="1"/>
  <c r="G50" i="1" s="1"/>
  <c r="E49" i="1"/>
  <c r="G49" i="1" s="1"/>
  <c r="D10" i="1"/>
  <c r="E7" i="1"/>
  <c r="G7" i="1" s="1"/>
  <c r="H7" i="1" s="1"/>
  <c r="E6" i="1"/>
  <c r="G6" i="1" s="1"/>
  <c r="H6" i="1" s="1"/>
  <c r="E45" i="1"/>
  <c r="G45" i="1" s="1"/>
  <c r="E5" i="1"/>
  <c r="G5" i="1" s="1"/>
  <c r="H5" i="1" s="1"/>
  <c r="E44" i="1"/>
  <c r="G44" i="1" s="1"/>
  <c r="I39" i="1"/>
  <c r="E37" i="1"/>
  <c r="G37" i="1" s="1"/>
  <c r="E36" i="1"/>
  <c r="E22" i="1"/>
  <c r="E32" i="1"/>
  <c r="E33" i="1"/>
  <c r="G53" i="1" l="1"/>
  <c r="H46" i="1"/>
  <c r="K46" i="1" s="1"/>
  <c r="H52" i="1"/>
  <c r="E27" i="1"/>
  <c r="G27" i="1" s="1"/>
  <c r="L40" i="1"/>
  <c r="E26" i="1"/>
  <c r="G26" i="1" s="1"/>
  <c r="H27" i="1" l="1"/>
  <c r="E19" i="1"/>
  <c r="E20" i="1"/>
  <c r="G20" i="1" s="1"/>
  <c r="G36" i="1"/>
  <c r="G22" i="1"/>
  <c r="E23" i="1"/>
  <c r="G23" i="1" s="1"/>
  <c r="H37" i="1" l="1"/>
  <c r="H23" i="1"/>
  <c r="L39" i="1"/>
  <c r="G33" i="1"/>
  <c r="G32" i="1"/>
  <c r="G21" i="2"/>
  <c r="C21" i="2"/>
  <c r="E22" i="2"/>
  <c r="D22" i="2"/>
  <c r="F22" i="2"/>
  <c r="E21" i="2"/>
  <c r="D21" i="2"/>
  <c r="C14" i="2"/>
  <c r="G19" i="1"/>
  <c r="D8" i="2"/>
  <c r="D7" i="2"/>
  <c r="C7" i="2"/>
  <c r="G41" i="1" l="1"/>
  <c r="H20" i="1"/>
  <c r="H33" i="1"/>
  <c r="G39" i="1"/>
  <c r="E15" i="2"/>
  <c r="G22" i="2" s="1"/>
  <c r="D15" i="2"/>
  <c r="C15" i="2"/>
  <c r="F15" i="2" s="1"/>
  <c r="E14" i="2"/>
  <c r="D14" i="2"/>
  <c r="E8" i="2"/>
  <c r="H39" i="1" l="1"/>
  <c r="I40" i="1"/>
  <c r="G15" i="2"/>
</calcChain>
</file>

<file path=xl/sharedStrings.xml><?xml version="1.0" encoding="utf-8"?>
<sst xmlns="http://schemas.openxmlformats.org/spreadsheetml/2006/main" count="194" uniqueCount="89">
  <si>
    <t>Month</t>
  </si>
  <si>
    <t xml:space="preserve">DAYS </t>
  </si>
  <si>
    <t>TOTAL</t>
  </si>
  <si>
    <t>MANAGER</t>
  </si>
  <si>
    <r>
      <t xml:space="preserve">PRICE </t>
    </r>
    <r>
      <rPr>
        <sz val="10"/>
        <rFont val="Aptos Narrow"/>
        <family val="2"/>
        <scheme val="minor"/>
      </rPr>
      <t>(€)</t>
    </r>
  </si>
  <si>
    <t xml:space="preserve"> </t>
  </si>
  <si>
    <t xml:space="preserve">GLOBAL PROGRAM OFFICE </t>
  </si>
  <si>
    <t>Job Title</t>
  </si>
  <si>
    <t>GOVERNANCE ACCOUNT MANAGEMENT ACTIVITY</t>
  </si>
  <si>
    <t>1 SENIOR PROJECT MANAGEMENT ACTIVITY</t>
  </si>
  <si>
    <t>Total</t>
  </si>
  <si>
    <t xml:space="preserve">Customer Facing (Yes) </t>
  </si>
  <si>
    <t>Yes</t>
  </si>
  <si>
    <t xml:space="preserve">Full Time Equivalent % </t>
  </si>
  <si>
    <t>Cost  per person per day
 (on the basis of 218 working days)</t>
  </si>
  <si>
    <t>Fixed Cost  Total</t>
  </si>
  <si>
    <t>SENIOR PROJECT MANAGEMENT ACTIVITY - OPTIONAL</t>
  </si>
  <si>
    <t xml:space="preserve">1 JUNIOR TRAINING SPECIALIST ACTIVITY - OPTIONAl </t>
  </si>
  <si>
    <t>1 JUNIOR TRAINING SPECIALIST ACTIVITY - OPTIONAL</t>
  </si>
  <si>
    <t xml:space="preserve">Yes </t>
  </si>
  <si>
    <t>SUPPORTING ROLES Included in deliverables cost</t>
  </si>
  <si>
    <t>4 PROJECT MANAGERS (COORDINATORS)</t>
  </si>
  <si>
    <t>AGENCY INTERNAL EXPERT</t>
  </si>
  <si>
    <t>3rd PARTY EXPERTS</t>
  </si>
  <si>
    <t xml:space="preserve">Customer Facing ( Yes) </t>
  </si>
  <si>
    <t>yes</t>
  </si>
  <si>
    <t xml:space="preserve">Total  Cost  Fixed </t>
  </si>
  <si>
    <t>If needed ; Variable Cost per day</t>
  </si>
  <si>
    <t>January-February-March</t>
  </si>
  <si>
    <t>1st quarter 2025</t>
  </si>
  <si>
    <t>COST X DAY (€)</t>
  </si>
  <si>
    <t>ACTIVITY</t>
  </si>
  <si>
    <t>D'Aquino</t>
  </si>
  <si>
    <t>Purchase order 31381147:  Ex F Product training development - Fixe</t>
  </si>
  <si>
    <t>April</t>
  </si>
  <si>
    <t>Barbirato</t>
  </si>
  <si>
    <t>SENIOR PROJECT MANAGEMENT ACTIVITY
(Stefano Genovesio)</t>
  </si>
  <si>
    <t>April May June</t>
  </si>
  <si>
    <t>2st quarter 2025</t>
  </si>
  <si>
    <t>May - June - july</t>
  </si>
  <si>
    <t>3rd quarter 2025</t>
  </si>
  <si>
    <t>October- November-December</t>
  </si>
  <si>
    <t>July- August-September</t>
  </si>
  <si>
    <t>August-September</t>
  </si>
  <si>
    <t>SENIOR PROJECT MANAGEMENT ACTIVITY - 2</t>
  </si>
  <si>
    <t>??</t>
  </si>
  <si>
    <t>Invoices issued by Koinè</t>
  </si>
  <si>
    <t>HOTEL</t>
  </si>
  <si>
    <t>deca</t>
  </si>
  <si>
    <t>March</t>
  </si>
  <si>
    <t>4+20+21</t>
  </si>
  <si>
    <t>20+20+23</t>
  </si>
  <si>
    <t>20+20+20</t>
  </si>
  <si>
    <t>11+21</t>
  </si>
  <si>
    <t>crivellati</t>
  </si>
  <si>
    <t>genovesio</t>
  </si>
  <si>
    <t>AMOUNT</t>
  </si>
  <si>
    <t>Sundry expenses</t>
  </si>
  <si>
    <t>Remaining amount  of the order</t>
  </si>
  <si>
    <t>JUNIOR PROJECT MANAGEMENT ACTIVITY
(Lavinia Crivellari)</t>
  </si>
  <si>
    <t>JUNIOR  PROJECT MANAGEMENT ACTIVITY
(Lavinia Crivellari)</t>
  </si>
  <si>
    <t>aggiunte 3 gg</t>
  </si>
  <si>
    <t>aggiunte 4 ogg</t>
  </si>
  <si>
    <t>23+20+20</t>
  </si>
  <si>
    <t>January</t>
  </si>
  <si>
    <t>February</t>
  </si>
  <si>
    <t>23+20+5</t>
  </si>
  <si>
    <t>inseriti in lavinia</t>
  </si>
  <si>
    <t>4th quarter 2025</t>
  </si>
  <si>
    <t>PRICE (€)</t>
  </si>
  <si>
    <t>RESTO DI ORDINE a credito x marzo</t>
  </si>
  <si>
    <t>costo crivellari</t>
  </si>
  <si>
    <t>pagato 38000</t>
  </si>
  <si>
    <t>May</t>
  </si>
  <si>
    <t>CARTA 30x10</t>
  </si>
  <si>
    <t>MICROFONI</t>
  </si>
  <si>
    <t>2nd quarter 2025</t>
  </si>
  <si>
    <t>April- May-June</t>
  </si>
  <si>
    <t>Lavinia Crivellari</t>
  </si>
  <si>
    <t>KOINE 002_2026 dec 2025</t>
  </si>
  <si>
    <t>fatturato</t>
  </si>
  <si>
    <t>nota spese</t>
  </si>
  <si>
    <t>treno 28/4 roma errani</t>
  </si>
  <si>
    <t>CRIVELLARI PARALOVO ROMA</t>
  </si>
  <si>
    <t>FLIP CHART 30*10</t>
  </si>
  <si>
    <t>Purchase order 31397323 - EX-F PC LCV CROSS BRAND RAINING FIXED CO</t>
  </si>
  <si>
    <t>Amount</t>
  </si>
  <si>
    <t>Less previus amount</t>
  </si>
  <si>
    <t>INVOICEs issued 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</si>
</sst>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Arial"/>
      <family val="2"/>
    </font>
    <font>
      <b/>
      <sz val="11"/>
      <name val="Calibri"/>
      <family val="2"/>
    </font>
    <font>
      <b/>
      <sz val="12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6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4" fontId="0" fillId="0" borderId="0" xfId="0" applyNumberFormat="1" applyAlignment="1">
      <alignment wrapText="1"/>
    </xf>
    <xf numFmtId="9" fontId="0" fillId="0" borderId="1" xfId="0" applyNumberFormat="1" applyBorder="1" applyAlignment="1">
      <alignment wrapText="1"/>
    </xf>
    <xf numFmtId="0" fontId="6" fillId="0" borderId="0" xfId="0" applyFont="1" applyAlignment="1">
      <alignment wrapText="1"/>
    </xf>
    <xf numFmtId="0" fontId="0" fillId="0" borderId="7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wrapText="1"/>
    </xf>
    <xf numFmtId="4" fontId="0" fillId="0" borderId="9" xfId="0" applyNumberFormat="1" applyBorder="1" applyAlignment="1">
      <alignment wrapText="1"/>
    </xf>
    <xf numFmtId="0" fontId="0" fillId="0" borderId="9" xfId="0" applyBorder="1" applyAlignment="1">
      <alignment wrapText="1"/>
    </xf>
    <xf numFmtId="4" fontId="7" fillId="0" borderId="4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wrapText="1"/>
    </xf>
    <xf numFmtId="4" fontId="8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9" fontId="0" fillId="0" borderId="0" xfId="0" applyNumberFormat="1" applyAlignment="1">
      <alignment wrapText="1"/>
    </xf>
    <xf numFmtId="4" fontId="5" fillId="0" borderId="0" xfId="0" applyNumberFormat="1" applyFont="1" applyAlignment="1">
      <alignment wrapText="1"/>
    </xf>
    <xf numFmtId="4" fontId="8" fillId="0" borderId="2" xfId="0" applyNumberFormat="1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4" borderId="0" xfId="0" applyFill="1" applyAlignment="1">
      <alignment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6" fillId="4" borderId="0" xfId="0" applyFont="1" applyFill="1" applyAlignment="1">
      <alignment wrapText="1"/>
    </xf>
    <xf numFmtId="4" fontId="6" fillId="4" borderId="0" xfId="0" applyNumberFormat="1" applyFont="1" applyFill="1" applyAlignment="1">
      <alignment wrapText="1"/>
    </xf>
    <xf numFmtId="0" fontId="0" fillId="0" borderId="13" xfId="0" applyBorder="1" applyAlignment="1">
      <alignment wrapText="1"/>
    </xf>
    <xf numFmtId="4" fontId="0" fillId="0" borderId="13" xfId="0" applyNumberFormat="1" applyBorder="1" applyAlignment="1">
      <alignment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horizontal="center" vertical="center" wrapText="1"/>
    </xf>
    <xf numFmtId="0" fontId="11" fillId="5" borderId="14" xfId="0" applyFont="1" applyFill="1" applyBorder="1" applyAlignment="1">
      <alignment horizontal="left" vertical="top" wrapText="1" readingOrder="1"/>
    </xf>
    <xf numFmtId="4" fontId="10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9" fontId="0" fillId="6" borderId="1" xfId="0" applyNumberFormat="1" applyFill="1" applyBorder="1" applyAlignment="1">
      <alignment wrapText="1"/>
    </xf>
    <xf numFmtId="4" fontId="8" fillId="6" borderId="2" xfId="0" applyNumberFormat="1" applyFont="1" applyFill="1" applyBorder="1" applyAlignment="1">
      <alignment wrapText="1"/>
    </xf>
    <xf numFmtId="0" fontId="0" fillId="6" borderId="6" xfId="0" applyFill="1" applyBorder="1" applyAlignment="1">
      <alignment wrapText="1"/>
    </xf>
    <xf numFmtId="0" fontId="9" fillId="0" borderId="0" xfId="0" applyFont="1" applyAlignment="1">
      <alignment wrapText="1"/>
    </xf>
    <xf numFmtId="4" fontId="9" fillId="0" borderId="0" xfId="0" applyNumberFormat="1" applyFont="1" applyAlignment="1">
      <alignment wrapText="1"/>
    </xf>
    <xf numFmtId="4" fontId="12" fillId="0" borderId="0" xfId="0" applyNumberFormat="1" applyFont="1" applyAlignment="1">
      <alignment vertical="top"/>
    </xf>
    <xf numFmtId="4" fontId="6" fillId="0" borderId="0" xfId="0" applyNumberFormat="1" applyFont="1" applyAlignment="1">
      <alignment wrapText="1"/>
    </xf>
    <xf numFmtId="4" fontId="13" fillId="0" borderId="0" xfId="0" applyNumberFormat="1" applyFont="1" applyAlignment="1">
      <alignment wrapText="1"/>
    </xf>
    <xf numFmtId="0" fontId="14" fillId="0" borderId="0" xfId="0" applyFont="1" applyAlignment="1">
      <alignment wrapText="1"/>
    </xf>
    <xf numFmtId="2" fontId="0" fillId="0" borderId="0" xfId="0" applyNumberFormat="1" applyAlignment="1">
      <alignment wrapText="1"/>
    </xf>
    <xf numFmtId="2" fontId="0" fillId="0" borderId="13" xfId="0" applyNumberFormat="1" applyBorder="1" applyAlignment="1">
      <alignment wrapText="1"/>
    </xf>
    <xf numFmtId="2" fontId="6" fillId="0" borderId="0" xfId="0" applyNumberFormat="1" applyFont="1" applyAlignment="1">
      <alignment wrapText="1"/>
    </xf>
    <xf numFmtId="4" fontId="9" fillId="0" borderId="13" xfId="0" applyNumberFormat="1" applyFont="1" applyBorder="1" applyAlignment="1">
      <alignment wrapText="1"/>
    </xf>
    <xf numFmtId="4" fontId="15" fillId="0" borderId="0" xfId="0" applyNumberFormat="1" applyFont="1" applyAlignment="1">
      <alignment vertical="top"/>
    </xf>
    <xf numFmtId="4" fontId="14" fillId="0" borderId="0" xfId="0" applyNumberFormat="1" applyFont="1" applyAlignment="1">
      <alignment wrapText="1"/>
    </xf>
    <xf numFmtId="4" fontId="5" fillId="0" borderId="1" xfId="0" applyNumberFormat="1" applyFont="1" applyBorder="1" applyAlignment="1">
      <alignment vertical="center" wrapText="1"/>
    </xf>
    <xf numFmtId="4" fontId="16" fillId="0" borderId="0" xfId="0" applyNumberFormat="1" applyFont="1" applyAlignment="1">
      <alignment vertical="top"/>
    </xf>
    <xf numFmtId="0" fontId="5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4" fontId="17" fillId="0" borderId="0" xfId="0" applyNumberFormat="1" applyFont="1" applyAlignment="1">
      <alignment vertical="center" wrapText="1"/>
    </xf>
    <xf numFmtId="4" fontId="17" fillId="0" borderId="0" xfId="0" applyNumberFormat="1" applyFont="1" applyAlignment="1">
      <alignment horizontal="center" vertical="center" wrapText="1"/>
    </xf>
    <xf numFmtId="4" fontId="9" fillId="0" borderId="15" xfId="0" applyNumberFormat="1" applyFont="1" applyBorder="1" applyAlignment="1">
      <alignment wrapText="1"/>
    </xf>
    <xf numFmtId="0" fontId="6" fillId="4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57</xdr:row>
      <xdr:rowOff>0</xdr:rowOff>
    </xdr:from>
    <xdr:to>
      <xdr:col>20</xdr:col>
      <xdr:colOff>533629</xdr:colOff>
      <xdr:row>80</xdr:row>
      <xdr:rowOff>137940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AD56901-5B0C-402C-9DE6-0DBD686EA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3645" y="6185512"/>
          <a:ext cx="8096250" cy="5611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9CE1-0212-4EA3-8DF3-6185CA16FDEB}">
  <sheetPr>
    <pageSetUpPr fitToPage="1"/>
  </sheetPr>
  <dimension ref="A1:T84"/>
  <sheetViews>
    <sheetView tabSelected="1" topLeftCell="B49" zoomScale="83" zoomScaleNormal="83" workbookViewId="0">
      <selection activeCell="D66" sqref="D66"/>
    </sheetView>
  </sheetViews>
  <sheetFormatPr defaultColWidth="8.85546875" defaultRowHeight="15" x14ac:dyDescent="0.25"/>
  <cols>
    <col min="1" max="1" width="21.140625" style="2" customWidth="1"/>
    <col min="2" max="2" width="38.42578125" style="2" customWidth="1"/>
    <col min="3" max="3" width="17.7109375" style="2" customWidth="1"/>
    <col min="4" max="4" width="16.7109375" style="2" customWidth="1"/>
    <col min="5" max="5" width="11.7109375" style="2" customWidth="1"/>
    <col min="6" max="6" width="13.7109375" style="2" customWidth="1"/>
    <col min="7" max="7" width="22.5703125" style="2" customWidth="1"/>
    <col min="8" max="8" width="21.28515625" style="2" customWidth="1"/>
    <col min="9" max="9" width="27.42578125" style="2" customWidth="1"/>
    <col min="10" max="10" width="16.42578125" style="2" customWidth="1"/>
    <col min="11" max="11" width="18" style="2" customWidth="1"/>
    <col min="12" max="16384" width="8.85546875" style="2"/>
  </cols>
  <sheetData>
    <row r="1" spans="1:20" x14ac:dyDescent="0.25">
      <c r="K1" s="2" t="s">
        <v>48</v>
      </c>
    </row>
    <row r="2" spans="1:20" x14ac:dyDescent="0.25">
      <c r="A2" s="2">
        <v>2026</v>
      </c>
    </row>
    <row r="3" spans="1:20" ht="18.600000000000001" hidden="1" customHeight="1" x14ac:dyDescent="0.25">
      <c r="A3" s="45" t="s">
        <v>0</v>
      </c>
      <c r="B3" s="45" t="s">
        <v>31</v>
      </c>
      <c r="C3" s="45" t="s">
        <v>1</v>
      </c>
      <c r="D3" s="46" t="s">
        <v>30</v>
      </c>
      <c r="E3" s="45" t="s">
        <v>2</v>
      </c>
      <c r="F3" s="45" t="s">
        <v>3</v>
      </c>
      <c r="G3" s="46" t="s">
        <v>69</v>
      </c>
      <c r="H3" s="28"/>
      <c r="I3" s="28"/>
      <c r="J3" s="28"/>
      <c r="K3" s="28"/>
      <c r="L3" s="28"/>
      <c r="M3" s="28"/>
      <c r="N3" s="28"/>
      <c r="O3" s="29"/>
      <c r="P3" s="29"/>
      <c r="Q3" s="29"/>
      <c r="R3" s="29"/>
      <c r="S3" s="29"/>
      <c r="T3" s="29"/>
    </row>
    <row r="4" spans="1:20" hidden="1" x14ac:dyDescent="0.25"/>
    <row r="5" spans="1:20" s="33" customFormat="1" ht="30" hidden="1" x14ac:dyDescent="0.25">
      <c r="A5" s="31" t="s">
        <v>49</v>
      </c>
      <c r="B5" s="31" t="s">
        <v>59</v>
      </c>
      <c r="C5" s="34">
        <v>22</v>
      </c>
      <c r="D5" s="31">
        <v>295.18</v>
      </c>
      <c r="E5" s="32">
        <f>C5*D5</f>
        <v>6493.96</v>
      </c>
      <c r="F5" s="35" t="s">
        <v>32</v>
      </c>
      <c r="G5" s="32">
        <f>E5</f>
        <v>6493.96</v>
      </c>
      <c r="H5" s="41">
        <f>SUM(G5:G5)</f>
        <v>6493.96</v>
      </c>
      <c r="I5" s="41"/>
    </row>
    <row r="6" spans="1:20" s="33" customFormat="1" ht="30" hidden="1" x14ac:dyDescent="0.25">
      <c r="A6" s="31" t="s">
        <v>34</v>
      </c>
      <c r="B6" s="31" t="s">
        <v>59</v>
      </c>
      <c r="C6" s="34">
        <v>22</v>
      </c>
      <c r="D6" s="31">
        <v>295.18</v>
      </c>
      <c r="E6" s="32">
        <f>C6*D6</f>
        <v>6493.96</v>
      </c>
      <c r="F6" s="35" t="s">
        <v>32</v>
      </c>
      <c r="G6" s="32">
        <f>E6</f>
        <v>6493.96</v>
      </c>
      <c r="H6" s="41">
        <f>SUM(G6:G6)</f>
        <v>6493.96</v>
      </c>
      <c r="I6" s="41"/>
    </row>
    <row r="7" spans="1:20" s="33" customFormat="1" ht="30" hidden="1" x14ac:dyDescent="0.25">
      <c r="A7" s="31" t="s">
        <v>73</v>
      </c>
      <c r="B7" s="31" t="s">
        <v>59</v>
      </c>
      <c r="C7" s="34">
        <v>22</v>
      </c>
      <c r="D7" s="31">
        <v>295.18</v>
      </c>
      <c r="E7" s="32">
        <f>C7*D7</f>
        <v>6493.96</v>
      </c>
      <c r="F7" s="35" t="s">
        <v>32</v>
      </c>
      <c r="G7" s="32">
        <f>E7</f>
        <v>6493.96</v>
      </c>
      <c r="H7" s="41">
        <f>SUM(G7:G7)</f>
        <v>6493.96</v>
      </c>
      <c r="I7" s="41"/>
    </row>
    <row r="8" spans="1:20" hidden="1" x14ac:dyDescent="0.25"/>
    <row r="9" spans="1:20" ht="30" hidden="1" x14ac:dyDescent="0.25">
      <c r="A9" s="64" t="s">
        <v>70</v>
      </c>
      <c r="B9" s="64"/>
      <c r="C9" s="25">
        <v>521.98</v>
      </c>
    </row>
    <row r="10" spans="1:20" s="50" customFormat="1" ht="30" hidden="1" x14ac:dyDescent="0.25">
      <c r="B10" s="50" t="s">
        <v>57</v>
      </c>
      <c r="D10" s="59">
        <f>C29</f>
        <v>0</v>
      </c>
      <c r="F10" s="50" t="s">
        <v>67</v>
      </c>
      <c r="G10" s="52"/>
    </row>
    <row r="11" spans="1:20" hidden="1" x14ac:dyDescent="0.25">
      <c r="A11" s="64"/>
      <c r="B11" s="64" t="s">
        <v>74</v>
      </c>
      <c r="C11" s="25"/>
      <c r="D11" s="56">
        <v>300</v>
      </c>
    </row>
    <row r="12" spans="1:20" hidden="1" x14ac:dyDescent="0.25">
      <c r="A12" s="64"/>
      <c r="B12" s="64" t="s">
        <v>75</v>
      </c>
      <c r="C12" s="25"/>
      <c r="D12" s="56">
        <v>25</v>
      </c>
    </row>
    <row r="13" spans="1:20" ht="59.25" hidden="1" customHeight="1" x14ac:dyDescent="0.25">
      <c r="A13" s="64">
        <v>2025</v>
      </c>
    </row>
    <row r="14" spans="1:20" s="36" customFormat="1" hidden="1" x14ac:dyDescent="0.25">
      <c r="A14" s="70" t="s">
        <v>33</v>
      </c>
      <c r="B14" s="71"/>
      <c r="C14" s="71"/>
      <c r="D14" s="71"/>
      <c r="E14" s="71"/>
      <c r="F14" s="71"/>
      <c r="G14" s="37">
        <v>238500</v>
      </c>
    </row>
    <row r="15" spans="1:20" s="30" customFormat="1" hidden="1" x14ac:dyDescent="0.25"/>
    <row r="16" spans="1:20" ht="18.600000000000001" hidden="1" customHeight="1" x14ac:dyDescent="0.25">
      <c r="A16" s="73" t="s">
        <v>0</v>
      </c>
      <c r="B16" s="73" t="s">
        <v>31</v>
      </c>
      <c r="C16" s="73" t="s">
        <v>1</v>
      </c>
      <c r="D16" s="72" t="s">
        <v>30</v>
      </c>
      <c r="E16" s="73" t="s">
        <v>2</v>
      </c>
      <c r="F16" s="73" t="s">
        <v>3</v>
      </c>
      <c r="G16" s="72" t="s">
        <v>4</v>
      </c>
      <c r="H16" s="28"/>
      <c r="I16" s="28"/>
      <c r="J16" s="28"/>
      <c r="K16" s="28"/>
      <c r="L16" s="28"/>
      <c r="M16" s="28"/>
      <c r="N16" s="28"/>
      <c r="O16" s="29"/>
      <c r="P16" s="29"/>
      <c r="Q16" s="29"/>
      <c r="R16" s="29"/>
      <c r="S16" s="29"/>
      <c r="T16" s="29"/>
    </row>
    <row r="17" spans="1:20" ht="3" hidden="1" customHeight="1" x14ac:dyDescent="0.25">
      <c r="A17" s="73"/>
      <c r="B17" s="73"/>
      <c r="C17" s="73"/>
      <c r="D17" s="72"/>
      <c r="E17" s="73"/>
      <c r="F17" s="73"/>
      <c r="G17" s="72"/>
      <c r="H17" s="28"/>
      <c r="I17" s="28"/>
      <c r="J17" s="28"/>
      <c r="K17" s="28"/>
      <c r="L17" s="28"/>
      <c r="M17" s="28"/>
      <c r="N17" s="28"/>
      <c r="O17" s="29"/>
      <c r="P17" s="29"/>
      <c r="Q17" s="29"/>
      <c r="R17" s="29"/>
      <c r="S17" s="29"/>
      <c r="T17" s="29"/>
    </row>
    <row r="18" spans="1:20" s="33" customFormat="1" ht="30" hidden="1" x14ac:dyDescent="0.25">
      <c r="A18" s="31" t="s">
        <v>28</v>
      </c>
      <c r="B18" s="31" t="s">
        <v>8</v>
      </c>
      <c r="C18" s="31" t="s">
        <v>29</v>
      </c>
      <c r="D18" s="31"/>
      <c r="E18" s="32"/>
      <c r="F18" s="32"/>
      <c r="G18" s="32">
        <v>20000</v>
      </c>
    </row>
    <row r="19" spans="1:20" s="33" customFormat="1" ht="30" hidden="1" x14ac:dyDescent="0.25">
      <c r="A19" s="31" t="s">
        <v>28</v>
      </c>
      <c r="B19" s="31" t="s">
        <v>59</v>
      </c>
      <c r="C19" s="34" t="s">
        <v>50</v>
      </c>
      <c r="D19" s="31">
        <v>295.18</v>
      </c>
      <c r="E19" s="32">
        <f>45*D19</f>
        <v>13283.1</v>
      </c>
      <c r="F19" s="35" t="s">
        <v>32</v>
      </c>
      <c r="G19" s="32">
        <f>E19</f>
        <v>13283.1</v>
      </c>
    </row>
    <row r="20" spans="1:20" s="33" customFormat="1" ht="30" hidden="1" x14ac:dyDescent="0.25">
      <c r="A20" s="31" t="s">
        <v>49</v>
      </c>
      <c r="B20" s="31" t="s">
        <v>36</v>
      </c>
      <c r="C20" s="34">
        <v>6</v>
      </c>
      <c r="D20" s="31">
        <v>363.53</v>
      </c>
      <c r="E20" s="32">
        <f>C20*D20</f>
        <v>2181.1799999999998</v>
      </c>
      <c r="F20" s="35" t="s">
        <v>35</v>
      </c>
      <c r="G20" s="32">
        <f>E20</f>
        <v>2181.1799999999998</v>
      </c>
      <c r="H20" s="41">
        <f>SUM(G18:G20)</f>
        <v>35464.28</v>
      </c>
      <c r="I20" s="41">
        <v>35268.65</v>
      </c>
    </row>
    <row r="21" spans="1:20" hidden="1" x14ac:dyDescent="0.25"/>
    <row r="22" spans="1:20" s="33" customFormat="1" ht="30" hidden="1" x14ac:dyDescent="0.25">
      <c r="A22" s="31" t="s">
        <v>34</v>
      </c>
      <c r="B22" s="31" t="s">
        <v>60</v>
      </c>
      <c r="C22" s="34">
        <v>21</v>
      </c>
      <c r="D22" s="31">
        <v>295.18</v>
      </c>
      <c r="E22" s="32">
        <f>C22*D22</f>
        <v>6198.78</v>
      </c>
      <c r="F22" s="35" t="s">
        <v>32</v>
      </c>
      <c r="G22" s="32">
        <f>E22</f>
        <v>6198.78</v>
      </c>
      <c r="K22" s="33" t="s">
        <v>62</v>
      </c>
      <c r="L22" s="33">
        <v>21</v>
      </c>
    </row>
    <row r="23" spans="1:20" s="33" customFormat="1" ht="30" hidden="1" x14ac:dyDescent="0.25">
      <c r="A23" s="31" t="s">
        <v>34</v>
      </c>
      <c r="B23" s="31" t="s">
        <v>36</v>
      </c>
      <c r="C23" s="34">
        <v>20</v>
      </c>
      <c r="D23" s="31">
        <v>363.53</v>
      </c>
      <c r="E23" s="32">
        <f>C23*D23</f>
        <v>7270.5999999999995</v>
      </c>
      <c r="F23" s="35" t="s">
        <v>35</v>
      </c>
      <c r="G23" s="32">
        <f>E23</f>
        <v>7270.5999999999995</v>
      </c>
      <c r="H23" s="41">
        <f>SUM(G22:G23)</f>
        <v>13469.38</v>
      </c>
      <c r="I23" s="41">
        <v>12288.66</v>
      </c>
    </row>
    <row r="24" spans="1:20" s="38" customFormat="1" hidden="1" x14ac:dyDescent="0.25">
      <c r="C24" s="39"/>
    </row>
    <row r="25" spans="1:20" s="33" customFormat="1" ht="30" hidden="1" x14ac:dyDescent="0.25">
      <c r="A25" s="31" t="s">
        <v>37</v>
      </c>
      <c r="B25" s="31" t="s">
        <v>8</v>
      </c>
      <c r="C25" s="31" t="s">
        <v>38</v>
      </c>
      <c r="D25" s="31"/>
      <c r="E25" s="32"/>
      <c r="F25" s="32"/>
      <c r="G25" s="32">
        <v>20000</v>
      </c>
    </row>
    <row r="26" spans="1:20" s="33" customFormat="1" ht="30" hidden="1" x14ac:dyDescent="0.25">
      <c r="A26" s="31" t="s">
        <v>39</v>
      </c>
      <c r="B26" s="31" t="s">
        <v>59</v>
      </c>
      <c r="C26" s="34" t="s">
        <v>51</v>
      </c>
      <c r="D26" s="31">
        <v>295.18</v>
      </c>
      <c r="E26" s="32">
        <f>D26*63</f>
        <v>18596.34</v>
      </c>
      <c r="F26" s="35" t="s">
        <v>32</v>
      </c>
      <c r="G26" s="32">
        <f>E26</f>
        <v>18596.34</v>
      </c>
    </row>
    <row r="27" spans="1:20" s="33" customFormat="1" ht="30" hidden="1" x14ac:dyDescent="0.25">
      <c r="A27" s="31" t="s">
        <v>39</v>
      </c>
      <c r="B27" s="31" t="s">
        <v>36</v>
      </c>
      <c r="C27" s="34" t="s">
        <v>52</v>
      </c>
      <c r="D27" s="31">
        <v>363.53</v>
      </c>
      <c r="E27" s="32">
        <f>D27*60</f>
        <v>21811.8</v>
      </c>
      <c r="F27" s="35" t="s">
        <v>35</v>
      </c>
      <c r="G27" s="32">
        <f>E27</f>
        <v>21811.8</v>
      </c>
      <c r="H27" s="41">
        <f>SUM(G25:G27)</f>
        <v>60408.14</v>
      </c>
      <c r="I27" s="41">
        <v>71692.69</v>
      </c>
      <c r="K27" s="41"/>
    </row>
    <row r="28" spans="1:20" s="33" customFormat="1" hidden="1" x14ac:dyDescent="0.25">
      <c r="C28" s="40"/>
      <c r="E28" s="41"/>
      <c r="F28" s="42"/>
      <c r="G28" s="41"/>
      <c r="K28" s="41"/>
    </row>
    <row r="29" spans="1:20" hidden="1" x14ac:dyDescent="0.25">
      <c r="G29" s="25"/>
    </row>
    <row r="30" spans="1:20" ht="18.600000000000001" hidden="1" customHeight="1" x14ac:dyDescent="0.25">
      <c r="A30" s="45" t="s">
        <v>0</v>
      </c>
      <c r="B30" s="45" t="s">
        <v>31</v>
      </c>
      <c r="C30" s="45" t="s">
        <v>1</v>
      </c>
      <c r="D30" s="46" t="s">
        <v>30</v>
      </c>
      <c r="E30" s="45" t="s">
        <v>2</v>
      </c>
      <c r="F30" s="45" t="s">
        <v>3</v>
      </c>
      <c r="G30" s="46"/>
      <c r="H30" s="28"/>
      <c r="I30" s="28"/>
      <c r="J30" s="28"/>
      <c r="K30" s="28"/>
      <c r="L30" s="28"/>
      <c r="M30" s="28"/>
      <c r="N30" s="28"/>
      <c r="O30" s="29"/>
      <c r="P30" s="29"/>
      <c r="Q30" s="29"/>
      <c r="R30" s="29"/>
      <c r="S30" s="29"/>
      <c r="T30" s="29"/>
    </row>
    <row r="31" spans="1:20" s="33" customFormat="1" ht="46.9" hidden="1" customHeight="1" x14ac:dyDescent="0.25">
      <c r="A31" s="31" t="s">
        <v>42</v>
      </c>
      <c r="B31" s="31" t="s">
        <v>8</v>
      </c>
      <c r="C31" s="31" t="s">
        <v>40</v>
      </c>
      <c r="D31" s="31"/>
      <c r="E31" s="32"/>
      <c r="F31" s="32"/>
      <c r="G31" s="32">
        <v>20000</v>
      </c>
    </row>
    <row r="32" spans="1:20" s="33" customFormat="1" ht="62.45" hidden="1" customHeight="1" x14ac:dyDescent="0.25">
      <c r="A32" s="31" t="s">
        <v>43</v>
      </c>
      <c r="B32" s="31" t="s">
        <v>60</v>
      </c>
      <c r="C32" s="34" t="s">
        <v>53</v>
      </c>
      <c r="D32" s="31">
        <v>295.18</v>
      </c>
      <c r="E32" s="32">
        <f>32*D32</f>
        <v>9445.76</v>
      </c>
      <c r="F32" s="35" t="s">
        <v>32</v>
      </c>
      <c r="G32" s="32">
        <f>E32</f>
        <v>9445.76</v>
      </c>
      <c r="I32" s="41">
        <v>23850</v>
      </c>
    </row>
    <row r="33" spans="1:20" s="33" customFormat="1" ht="57" hidden="1" customHeight="1" x14ac:dyDescent="0.25">
      <c r="A33" s="31" t="s">
        <v>43</v>
      </c>
      <c r="B33" s="31" t="s">
        <v>36</v>
      </c>
      <c r="C33" s="34" t="s">
        <v>53</v>
      </c>
      <c r="D33" s="31">
        <v>363.53</v>
      </c>
      <c r="E33" s="32">
        <f>D33*32</f>
        <v>11632.96</v>
      </c>
      <c r="F33" s="35" t="s">
        <v>35</v>
      </c>
      <c r="G33" s="32">
        <f>E33</f>
        <v>11632.96</v>
      </c>
      <c r="H33" s="41">
        <f>SUM(G31:G33)</f>
        <v>41078.720000000001</v>
      </c>
      <c r="I33" s="41">
        <v>23850</v>
      </c>
      <c r="K33" s="41"/>
    </row>
    <row r="34" spans="1:20" hidden="1" x14ac:dyDescent="0.25">
      <c r="G34" s="25"/>
      <c r="I34" s="41">
        <v>23850</v>
      </c>
    </row>
    <row r="35" spans="1:20" s="33" customFormat="1" ht="46.9" hidden="1" customHeight="1" x14ac:dyDescent="0.25">
      <c r="A35" s="31" t="s">
        <v>41</v>
      </c>
      <c r="B35" s="31" t="s">
        <v>8</v>
      </c>
      <c r="C35" s="31" t="s">
        <v>68</v>
      </c>
      <c r="D35" s="31"/>
      <c r="E35" s="32"/>
      <c r="F35" s="32"/>
      <c r="G35" s="32">
        <v>20000</v>
      </c>
    </row>
    <row r="36" spans="1:20" s="33" customFormat="1" ht="62.45" hidden="1" customHeight="1" x14ac:dyDescent="0.25">
      <c r="A36" s="31" t="s">
        <v>41</v>
      </c>
      <c r="B36" s="31" t="s">
        <v>59</v>
      </c>
      <c r="C36" s="34" t="s">
        <v>63</v>
      </c>
      <c r="D36" s="31">
        <v>295.18</v>
      </c>
      <c r="E36" s="32">
        <f>D36*63</f>
        <v>18596.34</v>
      </c>
      <c r="F36" s="35" t="s">
        <v>32</v>
      </c>
      <c r="G36" s="32">
        <f>E36</f>
        <v>18596.34</v>
      </c>
      <c r="K36" s="33" t="s">
        <v>61</v>
      </c>
    </row>
    <row r="37" spans="1:20" s="33" customFormat="1" ht="57" hidden="1" customHeight="1" x14ac:dyDescent="0.25">
      <c r="A37" s="31" t="s">
        <v>41</v>
      </c>
      <c r="B37" s="31" t="s">
        <v>36</v>
      </c>
      <c r="C37" s="34" t="s">
        <v>66</v>
      </c>
      <c r="D37" s="31">
        <v>363.53</v>
      </c>
      <c r="E37" s="32">
        <f>D37*48</f>
        <v>17449.439999999999</v>
      </c>
      <c r="F37" s="35" t="s">
        <v>35</v>
      </c>
      <c r="G37" s="62">
        <f>E37</f>
        <v>17449.439999999999</v>
      </c>
      <c r="H37" s="41">
        <f>SUM(G35:G37)</f>
        <v>56045.78</v>
      </c>
      <c r="I37" s="41">
        <v>13848.65</v>
      </c>
      <c r="K37" s="41"/>
    </row>
    <row r="38" spans="1:20" hidden="1" x14ac:dyDescent="0.25">
      <c r="G38" s="25"/>
      <c r="J38" s="4"/>
    </row>
    <row r="39" spans="1:20" s="55" customFormat="1" ht="15.75" hidden="1" x14ac:dyDescent="0.25">
      <c r="B39" s="55" t="s">
        <v>2</v>
      </c>
      <c r="G39" s="54">
        <f>SUM(G18:G37)</f>
        <v>206466.3</v>
      </c>
      <c r="H39" s="54">
        <f>SUM(H18:H37)</f>
        <v>206466.3</v>
      </c>
      <c r="I39" s="54">
        <f>SUM(I18:I37)</f>
        <v>204648.65</v>
      </c>
      <c r="K39" s="55" t="s">
        <v>54</v>
      </c>
      <c r="L39" s="55">
        <f>J19+J22+J26+J32+J36</f>
        <v>0</v>
      </c>
    </row>
    <row r="40" spans="1:20" hidden="1" x14ac:dyDescent="0.25">
      <c r="I40" s="4">
        <f>H39-I39</f>
        <v>1817.6499999999942</v>
      </c>
      <c r="K40" s="2" t="s">
        <v>55</v>
      </c>
      <c r="L40" s="2">
        <f>J20+J23+J27+J33+J37</f>
        <v>0</v>
      </c>
    </row>
    <row r="41" spans="1:20" s="65" customFormat="1" ht="44.25" hidden="1" customHeight="1" x14ac:dyDescent="0.25">
      <c r="A41" s="65" t="s">
        <v>71</v>
      </c>
      <c r="C41" s="66"/>
      <c r="E41" s="67"/>
      <c r="F41" s="68"/>
      <c r="G41" s="67">
        <f>G36+G32+G26+G22+G19</f>
        <v>66120.320000000007</v>
      </c>
      <c r="H41" s="67" t="s">
        <v>72</v>
      </c>
      <c r="I41" s="67"/>
    </row>
    <row r="42" spans="1:20" s="33" customFormat="1" ht="44.25" customHeight="1" x14ac:dyDescent="0.25">
      <c r="A42" s="33" t="s">
        <v>78</v>
      </c>
      <c r="C42" s="40"/>
      <c r="E42" s="41"/>
      <c r="F42" s="42"/>
      <c r="G42" s="41"/>
      <c r="H42" s="41"/>
      <c r="I42" s="41"/>
    </row>
    <row r="43" spans="1:20" ht="18.600000000000001" customHeight="1" x14ac:dyDescent="0.25">
      <c r="A43" s="45" t="s">
        <v>0</v>
      </c>
      <c r="B43" s="45" t="s">
        <v>31</v>
      </c>
      <c r="C43" s="45" t="s">
        <v>1</v>
      </c>
      <c r="D43" s="46" t="s">
        <v>30</v>
      </c>
      <c r="E43" s="45" t="s">
        <v>2</v>
      </c>
      <c r="F43" s="45" t="s">
        <v>3</v>
      </c>
      <c r="G43" s="46" t="s">
        <v>69</v>
      </c>
      <c r="H43" s="28"/>
      <c r="I43" s="28"/>
      <c r="J43" s="28"/>
      <c r="K43" s="28"/>
      <c r="L43" s="28"/>
      <c r="M43" s="28"/>
      <c r="N43" s="28"/>
      <c r="O43" s="29"/>
      <c r="P43" s="29"/>
      <c r="Q43" s="29"/>
      <c r="R43" s="29"/>
      <c r="S43" s="29"/>
      <c r="T43" s="29"/>
    </row>
    <row r="44" spans="1:20" s="33" customFormat="1" ht="30" x14ac:dyDescent="0.25">
      <c r="A44" s="31" t="s">
        <v>64</v>
      </c>
      <c r="B44" s="31" t="s">
        <v>59</v>
      </c>
      <c r="C44" s="34">
        <v>19</v>
      </c>
      <c r="D44" s="31">
        <v>295.18</v>
      </c>
      <c r="E44" s="32">
        <f>C44*D44</f>
        <v>5608.42</v>
      </c>
      <c r="F44" s="35" t="s">
        <v>32</v>
      </c>
      <c r="G44" s="32">
        <f>E44</f>
        <v>5608.42</v>
      </c>
    </row>
    <row r="45" spans="1:20" s="33" customFormat="1" ht="30.75" thickBot="1" x14ac:dyDescent="0.3">
      <c r="A45" s="31" t="s">
        <v>65</v>
      </c>
      <c r="B45" s="31" t="s">
        <v>59</v>
      </c>
      <c r="C45" s="34">
        <v>20</v>
      </c>
      <c r="D45" s="31">
        <v>295.18</v>
      </c>
      <c r="E45" s="32">
        <f>C45*D45</f>
        <v>5903.6</v>
      </c>
      <c r="F45" s="35" t="s">
        <v>32</v>
      </c>
      <c r="G45" s="32">
        <f>E45</f>
        <v>5903.6</v>
      </c>
      <c r="H45" s="41"/>
      <c r="J45" s="33" t="s">
        <v>80</v>
      </c>
    </row>
    <row r="46" spans="1:20" s="33" customFormat="1" ht="30.75" thickBot="1" x14ac:dyDescent="0.3">
      <c r="A46" s="31" t="s">
        <v>28</v>
      </c>
      <c r="B46" s="31" t="s">
        <v>8</v>
      </c>
      <c r="C46" s="31" t="s">
        <v>29</v>
      </c>
      <c r="D46" s="31"/>
      <c r="E46" s="32"/>
      <c r="F46" s="32"/>
      <c r="G46" s="32">
        <v>20000</v>
      </c>
      <c r="H46" s="41">
        <f>SUM(G44:G46)</f>
        <v>31512.02</v>
      </c>
      <c r="I46" s="43" t="s">
        <v>79</v>
      </c>
      <c r="J46" s="41">
        <v>33851.65</v>
      </c>
      <c r="K46" s="41">
        <f>J46-H46</f>
        <v>2339.630000000001</v>
      </c>
    </row>
    <row r="48" spans="1:20" ht="18.600000000000001" customHeight="1" x14ac:dyDescent="0.25">
      <c r="A48" s="45" t="s">
        <v>0</v>
      </c>
      <c r="B48" s="45" t="s">
        <v>31</v>
      </c>
      <c r="C48" s="45" t="s">
        <v>1</v>
      </c>
      <c r="D48" s="46" t="s">
        <v>30</v>
      </c>
      <c r="E48" s="45" t="s">
        <v>2</v>
      </c>
      <c r="F48" s="45" t="s">
        <v>3</v>
      </c>
      <c r="G48" s="46" t="s">
        <v>69</v>
      </c>
      <c r="H48" s="28"/>
      <c r="I48" s="28"/>
      <c r="J48" s="28"/>
      <c r="K48" s="28"/>
      <c r="L48" s="28"/>
      <c r="M48" s="28"/>
      <c r="N48" s="28"/>
      <c r="O48" s="29"/>
      <c r="P48" s="29"/>
      <c r="Q48" s="29"/>
      <c r="R48" s="29"/>
      <c r="S48" s="29"/>
      <c r="T48" s="29"/>
    </row>
    <row r="49" spans="1:9" s="33" customFormat="1" ht="30" x14ac:dyDescent="0.25">
      <c r="A49" s="31" t="s">
        <v>49</v>
      </c>
      <c r="B49" s="31" t="s">
        <v>59</v>
      </c>
      <c r="C49" s="34">
        <v>22</v>
      </c>
      <c r="D49" s="31">
        <v>295.18</v>
      </c>
      <c r="E49" s="32">
        <f>C49*D49</f>
        <v>6493.96</v>
      </c>
      <c r="F49" s="35" t="s">
        <v>32</v>
      </c>
      <c r="G49" s="32">
        <f>E49</f>
        <v>6493.96</v>
      </c>
    </row>
    <row r="50" spans="1:9" s="33" customFormat="1" ht="30" x14ac:dyDescent="0.25">
      <c r="A50" s="31" t="s">
        <v>34</v>
      </c>
      <c r="B50" s="31" t="s">
        <v>59</v>
      </c>
      <c r="C50" s="34">
        <v>22</v>
      </c>
      <c r="D50" s="31">
        <v>295.18</v>
      </c>
      <c r="E50" s="32">
        <f>C50*D50</f>
        <v>6493.96</v>
      </c>
      <c r="F50" s="35" t="s">
        <v>32</v>
      </c>
      <c r="G50" s="32">
        <f>E50</f>
        <v>6493.96</v>
      </c>
      <c r="H50" s="41"/>
    </row>
    <row r="51" spans="1:9" s="33" customFormat="1" ht="30" x14ac:dyDescent="0.25">
      <c r="A51" s="31" t="s">
        <v>73</v>
      </c>
      <c r="B51" s="31" t="s">
        <v>59</v>
      </c>
      <c r="C51" s="34">
        <v>20</v>
      </c>
      <c r="D51" s="31">
        <v>295.18</v>
      </c>
      <c r="E51" s="32">
        <f>C51*D51</f>
        <v>5903.6</v>
      </c>
      <c r="F51" s="35" t="s">
        <v>32</v>
      </c>
      <c r="G51" s="32">
        <f>E51</f>
        <v>5903.6</v>
      </c>
      <c r="H51" s="41"/>
      <c r="I51" s="41"/>
    </row>
    <row r="52" spans="1:9" s="33" customFormat="1" ht="30" x14ac:dyDescent="0.25">
      <c r="A52" s="31" t="s">
        <v>77</v>
      </c>
      <c r="B52" s="31" t="s">
        <v>8</v>
      </c>
      <c r="C52" s="31" t="s">
        <v>76</v>
      </c>
      <c r="D52" s="31"/>
      <c r="E52" s="32"/>
      <c r="F52" s="32"/>
      <c r="G52" s="32">
        <v>20000</v>
      </c>
      <c r="H52" s="41">
        <f>SUM(G49:G52)</f>
        <v>38891.520000000004</v>
      </c>
      <c r="I52" s="41"/>
    </row>
    <row r="53" spans="1:9" ht="24.75" customHeight="1" x14ac:dyDescent="0.25">
      <c r="A53" s="6" t="s">
        <v>86</v>
      </c>
      <c r="B53" s="6"/>
      <c r="C53" s="6"/>
      <c r="D53" s="6"/>
      <c r="E53" s="6"/>
      <c r="F53" s="6"/>
      <c r="G53" s="53">
        <f>SUM(G49:G52)</f>
        <v>38891.520000000004</v>
      </c>
    </row>
    <row r="54" spans="1:9" ht="39" customHeight="1" x14ac:dyDescent="0.25">
      <c r="A54" s="6"/>
      <c r="G54" s="4"/>
    </row>
    <row r="55" spans="1:9" s="36" customFormat="1" x14ac:dyDescent="0.25">
      <c r="A55" s="70" t="s">
        <v>85</v>
      </c>
      <c r="B55" s="71"/>
      <c r="C55" s="71"/>
      <c r="D55" s="71"/>
      <c r="E55" s="71"/>
      <c r="F55" s="71"/>
      <c r="G55" s="37">
        <v>338000</v>
      </c>
    </row>
    <row r="57" spans="1:9" ht="30" x14ac:dyDescent="0.25">
      <c r="A57" s="36" t="s">
        <v>46</v>
      </c>
      <c r="B57" s="36" t="s">
        <v>46</v>
      </c>
      <c r="C57" s="6"/>
      <c r="D57" s="6"/>
      <c r="E57" s="6"/>
      <c r="F57" s="6"/>
    </row>
    <row r="58" spans="1:9" x14ac:dyDescent="0.25">
      <c r="G58" s="44"/>
    </row>
    <row r="59" spans="1:9" x14ac:dyDescent="0.25">
      <c r="D59" s="4"/>
      <c r="G59" s="44"/>
    </row>
    <row r="60" spans="1:9" s="50" customFormat="1" x14ac:dyDescent="0.25">
      <c r="B60" s="50" t="s">
        <v>88</v>
      </c>
      <c r="D60" s="59">
        <v>38891.519999999997</v>
      </c>
      <c r="F60" s="51"/>
      <c r="G60" s="52"/>
    </row>
    <row r="61" spans="1:9" s="50" customFormat="1" x14ac:dyDescent="0.25">
      <c r="B61" s="50" t="s">
        <v>87</v>
      </c>
      <c r="D61" s="69">
        <v>-521.98</v>
      </c>
      <c r="E61" s="50">
        <f>38891.52-521.98</f>
        <v>38369.539999999994</v>
      </c>
      <c r="G61" s="51"/>
    </row>
    <row r="62" spans="1:9" s="50" customFormat="1" x14ac:dyDescent="0.25">
      <c r="D62" s="51"/>
      <c r="G62" s="51"/>
    </row>
    <row r="63" spans="1:9" s="50" customFormat="1" x14ac:dyDescent="0.25">
      <c r="D63" s="51"/>
      <c r="G63" s="51"/>
    </row>
    <row r="64" spans="1:9" s="50" customFormat="1" x14ac:dyDescent="0.25">
      <c r="D64" s="51"/>
      <c r="G64" s="51"/>
    </row>
    <row r="65" spans="1:7" x14ac:dyDescent="0.25">
      <c r="A65" s="36"/>
      <c r="B65" s="6" t="s">
        <v>58</v>
      </c>
      <c r="C65" s="6"/>
      <c r="D65" s="53">
        <f>G55-E61</f>
        <v>299630.46000000002</v>
      </c>
      <c r="E65" s="6"/>
      <c r="F65" s="53"/>
      <c r="G65" s="25"/>
    </row>
    <row r="66" spans="1:7" s="50" customFormat="1" ht="16.5" customHeight="1" x14ac:dyDescent="0.25">
      <c r="D66" s="51"/>
      <c r="G66" s="52"/>
    </row>
    <row r="67" spans="1:7" s="50" customFormat="1" x14ac:dyDescent="0.25">
      <c r="D67" s="51"/>
      <c r="F67" s="51"/>
      <c r="G67" s="52"/>
    </row>
    <row r="68" spans="1:7" s="64" customFormat="1" ht="24" customHeight="1" x14ac:dyDescent="0.25">
      <c r="B68" s="64" t="s">
        <v>70</v>
      </c>
      <c r="D68" s="25">
        <v>521.98</v>
      </c>
      <c r="G68" s="60"/>
    </row>
    <row r="69" spans="1:7" ht="69" customHeight="1" x14ac:dyDescent="0.25">
      <c r="D69" s="4"/>
      <c r="G69" s="44"/>
    </row>
    <row r="70" spans="1:7" s="50" customFormat="1" x14ac:dyDescent="0.25">
      <c r="B70" s="50" t="s">
        <v>57</v>
      </c>
      <c r="D70" s="59"/>
      <c r="G70" s="52"/>
    </row>
    <row r="71" spans="1:7" s="55" customFormat="1" x14ac:dyDescent="0.25">
      <c r="D71" s="61"/>
      <c r="G71" s="63"/>
    </row>
    <row r="72" spans="1:7" x14ac:dyDescent="0.25">
      <c r="A72" s="36"/>
      <c r="B72" s="6"/>
      <c r="C72" s="6"/>
      <c r="D72" s="6"/>
      <c r="E72" s="6"/>
      <c r="F72" s="6"/>
      <c r="G72" s="25"/>
    </row>
    <row r="73" spans="1:7" ht="30" x14ac:dyDescent="0.25">
      <c r="A73" s="36" t="s">
        <v>83</v>
      </c>
      <c r="B73" s="6"/>
      <c r="C73" s="6"/>
      <c r="D73" s="6"/>
      <c r="E73" s="6"/>
      <c r="F73" s="6"/>
      <c r="G73" s="25"/>
    </row>
    <row r="74" spans="1:7" x14ac:dyDescent="0.25">
      <c r="B74" s="2" t="s">
        <v>81</v>
      </c>
      <c r="C74" s="56">
        <v>119.6</v>
      </c>
    </row>
    <row r="75" spans="1:7" x14ac:dyDescent="0.25">
      <c r="B75" s="2" t="s">
        <v>82</v>
      </c>
      <c r="C75" s="56">
        <f>111.9+84.9+109.9+80.9</f>
        <v>387.6</v>
      </c>
    </row>
    <row r="76" spans="1:7" x14ac:dyDescent="0.25">
      <c r="B76" s="2" t="s">
        <v>84</v>
      </c>
      <c r="C76" s="56">
        <v>300</v>
      </c>
    </row>
    <row r="77" spans="1:7" x14ac:dyDescent="0.25">
      <c r="B77" s="2" t="s">
        <v>75</v>
      </c>
      <c r="C77" s="56">
        <v>25</v>
      </c>
    </row>
    <row r="78" spans="1:7" x14ac:dyDescent="0.25">
      <c r="B78" s="2" t="s">
        <v>47</v>
      </c>
      <c r="C78" s="57">
        <v>811</v>
      </c>
    </row>
    <row r="79" spans="1:7" x14ac:dyDescent="0.25">
      <c r="C79" s="58">
        <f>SUM(C74:C78)</f>
        <v>1643.2</v>
      </c>
    </row>
    <row r="84" spans="1:3" s="6" customFormat="1" x14ac:dyDescent="0.25">
      <c r="A84" s="6" t="s">
        <v>56</v>
      </c>
      <c r="C84" s="58"/>
    </row>
  </sheetData>
  <mergeCells count="9">
    <mergeCell ref="A55:F55"/>
    <mergeCell ref="G16:G17"/>
    <mergeCell ref="F16:F17"/>
    <mergeCell ref="A14:F14"/>
    <mergeCell ref="A16:A17"/>
    <mergeCell ref="B16:B17"/>
    <mergeCell ref="C16:C17"/>
    <mergeCell ref="D16:D17"/>
    <mergeCell ref="E16:E1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EBDE-7439-4EF2-B8CB-EA375A6BD141}">
  <dimension ref="A1:I31"/>
  <sheetViews>
    <sheetView topLeftCell="A11" workbookViewId="0">
      <selection activeCell="H18" sqref="H18"/>
    </sheetView>
  </sheetViews>
  <sheetFormatPr defaultColWidth="11.42578125" defaultRowHeight="15" x14ac:dyDescent="0.25"/>
  <cols>
    <col min="1" max="1" width="11.42578125" style="2"/>
    <col min="2" max="2" width="40.85546875" style="2" customWidth="1"/>
    <col min="3" max="3" width="20.42578125" style="2" customWidth="1"/>
    <col min="4" max="4" width="19.42578125" style="2" customWidth="1"/>
    <col min="5" max="5" width="18.28515625" style="2" customWidth="1"/>
    <col min="6" max="6" width="19.7109375" style="2" customWidth="1"/>
    <col min="7" max="7" width="19.42578125" style="2" customWidth="1"/>
    <col min="8" max="8" width="14.7109375" style="2" customWidth="1"/>
    <col min="9" max="9" width="11.42578125" style="2"/>
    <col min="10" max="10" width="16.28515625" style="2" customWidth="1"/>
    <col min="11" max="16384" width="11.42578125" style="2"/>
  </cols>
  <sheetData>
    <row r="1" spans="1:9" ht="16.5" customHeight="1" x14ac:dyDescent="0.25">
      <c r="H1" s="25"/>
    </row>
    <row r="2" spans="1:9" ht="15.75" x14ac:dyDescent="0.25">
      <c r="A2" s="2" t="s">
        <v>5</v>
      </c>
      <c r="B2" s="1" t="s">
        <v>6</v>
      </c>
    </row>
    <row r="3" spans="1:9" ht="15.75" thickBot="1" x14ac:dyDescent="0.3"/>
    <row r="4" spans="1:9" ht="60.75" thickBot="1" x14ac:dyDescent="0.3">
      <c r="B4" s="17" t="s">
        <v>7</v>
      </c>
      <c r="C4" s="18" t="s">
        <v>8</v>
      </c>
      <c r="D4" s="27" t="s">
        <v>9</v>
      </c>
      <c r="E4" s="19" t="s">
        <v>10</v>
      </c>
    </row>
    <row r="5" spans="1:9" x14ac:dyDescent="0.25">
      <c r="B5" s="14" t="s">
        <v>11</v>
      </c>
      <c r="C5" s="22" t="s">
        <v>12</v>
      </c>
      <c r="D5" s="26" t="s">
        <v>12</v>
      </c>
      <c r="E5" s="16"/>
      <c r="G5" s="4"/>
      <c r="H5" s="4"/>
    </row>
    <row r="6" spans="1:9" x14ac:dyDescent="0.25">
      <c r="B6" s="7" t="s">
        <v>13</v>
      </c>
      <c r="C6" s="5">
        <v>0.5</v>
      </c>
      <c r="D6" s="5">
        <v>1</v>
      </c>
      <c r="E6" s="8"/>
    </row>
    <row r="7" spans="1:9" ht="30" x14ac:dyDescent="0.25">
      <c r="B7" s="7" t="s">
        <v>14</v>
      </c>
      <c r="C7" s="21">
        <f>80000/218</f>
        <v>366.97247706422019</v>
      </c>
      <c r="D7" s="21">
        <f>79250/218</f>
        <v>363.53211009174311</v>
      </c>
      <c r="E7" s="8"/>
      <c r="G7" s="25"/>
    </row>
    <row r="8" spans="1:9" ht="15.75" x14ac:dyDescent="0.25">
      <c r="B8" s="7" t="s">
        <v>15</v>
      </c>
      <c r="C8" s="15">
        <v>80000</v>
      </c>
      <c r="D8" s="21">
        <f>158500/2</f>
        <v>79250</v>
      </c>
      <c r="E8" s="13">
        <f>SUM(C8:D8)</f>
        <v>159250</v>
      </c>
      <c r="G8" s="4"/>
      <c r="H8" s="24"/>
    </row>
    <row r="9" spans="1:9" ht="15.75" thickBot="1" x14ac:dyDescent="0.3">
      <c r="B9" s="9"/>
      <c r="C9" s="10"/>
      <c r="D9" s="10"/>
      <c r="E9" s="11"/>
      <c r="G9" s="4"/>
    </row>
    <row r="10" spans="1:9" ht="15.75" thickBot="1" x14ac:dyDescent="0.3">
      <c r="H10" s="25"/>
    </row>
    <row r="11" spans="1:9" ht="75.75" thickBot="1" x14ac:dyDescent="0.3">
      <c r="B11" s="17" t="s">
        <v>7</v>
      </c>
      <c r="C11" s="27" t="s">
        <v>16</v>
      </c>
      <c r="D11" s="27" t="s">
        <v>17</v>
      </c>
      <c r="E11" s="27" t="s">
        <v>18</v>
      </c>
      <c r="F11" s="19" t="s">
        <v>10</v>
      </c>
    </row>
    <row r="12" spans="1:9" x14ac:dyDescent="0.25">
      <c r="B12" s="14" t="s">
        <v>11</v>
      </c>
      <c r="C12" s="26" t="s">
        <v>12</v>
      </c>
      <c r="D12" s="22" t="s">
        <v>19</v>
      </c>
      <c r="E12" s="22" t="s">
        <v>19</v>
      </c>
      <c r="F12" s="16"/>
      <c r="H12" s="4"/>
      <c r="I12" s="4"/>
    </row>
    <row r="13" spans="1:9" x14ac:dyDescent="0.25">
      <c r="B13" s="7" t="s">
        <v>13</v>
      </c>
      <c r="C13" s="5">
        <v>1</v>
      </c>
      <c r="D13" s="5">
        <v>1</v>
      </c>
      <c r="E13" s="5">
        <v>1</v>
      </c>
      <c r="F13" s="8"/>
    </row>
    <row r="14" spans="1:9" ht="30" x14ac:dyDescent="0.25">
      <c r="B14" s="7" t="s">
        <v>14</v>
      </c>
      <c r="C14" s="21">
        <f>79250/218</f>
        <v>363.53211009174311</v>
      </c>
      <c r="D14" s="15">
        <f>64350/218</f>
        <v>295.18348623853211</v>
      </c>
      <c r="E14" s="15">
        <f>64350/218</f>
        <v>295.18348623853211</v>
      </c>
      <c r="F14" s="8"/>
      <c r="H14" s="25"/>
    </row>
    <row r="15" spans="1:9" ht="15.75" x14ac:dyDescent="0.25">
      <c r="B15" s="7" t="s">
        <v>15</v>
      </c>
      <c r="C15" s="21">
        <f>158500/2</f>
        <v>79250</v>
      </c>
      <c r="D15" s="15">
        <f>128700/2</f>
        <v>64350</v>
      </c>
      <c r="E15" s="15">
        <f>128700/2</f>
        <v>64350</v>
      </c>
      <c r="F15" s="13">
        <f>SUM(C15:E15)</f>
        <v>207950</v>
      </c>
      <c r="G15" s="4">
        <f>F15+E8</f>
        <v>367200</v>
      </c>
      <c r="H15" s="4"/>
      <c r="I15" s="24"/>
    </row>
    <row r="16" spans="1:9" ht="15.75" thickBot="1" x14ac:dyDescent="0.3">
      <c r="B16" s="9"/>
      <c r="C16" s="10"/>
      <c r="D16" s="10"/>
      <c r="E16" s="10"/>
      <c r="F16" s="11"/>
      <c r="H16" s="4"/>
    </row>
    <row r="17" spans="2:9" ht="16.5" customHeight="1" thickBot="1" x14ac:dyDescent="0.3">
      <c r="H17" s="25"/>
    </row>
    <row r="18" spans="2:9" ht="75.75" thickBot="1" x14ac:dyDescent="0.3">
      <c r="B18" s="17" t="s">
        <v>7</v>
      </c>
      <c r="C18" s="27" t="s">
        <v>44</v>
      </c>
      <c r="D18" s="27" t="s">
        <v>17</v>
      </c>
      <c r="E18" s="27" t="s">
        <v>18</v>
      </c>
      <c r="F18" s="19" t="s">
        <v>10</v>
      </c>
    </row>
    <row r="19" spans="2:9" x14ac:dyDescent="0.25">
      <c r="B19" s="14" t="s">
        <v>11</v>
      </c>
      <c r="C19" s="26" t="s">
        <v>12</v>
      </c>
      <c r="D19" s="22" t="s">
        <v>19</v>
      </c>
      <c r="E19" s="22" t="s">
        <v>19</v>
      </c>
      <c r="F19" s="16"/>
      <c r="H19" s="4"/>
      <c r="I19" s="4"/>
    </row>
    <row r="20" spans="2:9" x14ac:dyDescent="0.25">
      <c r="B20" s="7" t="s">
        <v>13</v>
      </c>
      <c r="C20" s="47">
        <v>1</v>
      </c>
      <c r="D20" s="5">
        <v>1</v>
      </c>
      <c r="E20" s="5">
        <v>1</v>
      </c>
      <c r="F20" s="8"/>
    </row>
    <row r="21" spans="2:9" ht="30" x14ac:dyDescent="0.25">
      <c r="B21" s="7" t="s">
        <v>14</v>
      </c>
      <c r="C21" s="48">
        <f>98100/218</f>
        <v>450</v>
      </c>
      <c r="D21" s="15">
        <f>64350/218</f>
        <v>295.18348623853211</v>
      </c>
      <c r="E21" s="15">
        <f>64350/218</f>
        <v>295.18348623853211</v>
      </c>
      <c r="F21" s="8"/>
      <c r="G21" s="2">
        <f>450*218</f>
        <v>98100</v>
      </c>
      <c r="H21" s="25"/>
    </row>
    <row r="22" spans="2:9" ht="15.75" x14ac:dyDescent="0.25">
      <c r="B22" s="7" t="s">
        <v>15</v>
      </c>
      <c r="C22" s="48" t="s">
        <v>45</v>
      </c>
      <c r="D22" s="15">
        <f>128700/2</f>
        <v>64350</v>
      </c>
      <c r="E22" s="15">
        <f>128700/2</f>
        <v>64350</v>
      </c>
      <c r="F22" s="13">
        <f>SUM(C22:E22)</f>
        <v>128700</v>
      </c>
      <c r="G22" s="4">
        <f>F22+E15</f>
        <v>193050</v>
      </c>
      <c r="H22" s="4"/>
      <c r="I22" s="24"/>
    </row>
    <row r="23" spans="2:9" ht="15.75" thickBot="1" x14ac:dyDescent="0.3">
      <c r="B23" s="9"/>
      <c r="C23" s="49"/>
      <c r="D23" s="10"/>
      <c r="E23" s="10"/>
      <c r="F23" s="11"/>
      <c r="H23" s="4"/>
    </row>
    <row r="24" spans="2:9" s="6" customFormat="1" ht="15.75" x14ac:dyDescent="0.25">
      <c r="B24" s="74" t="s">
        <v>20</v>
      </c>
      <c r="C24" s="74"/>
      <c r="D24" s="74"/>
      <c r="E24" s="74"/>
    </row>
    <row r="25" spans="2:9" ht="15.75" thickBot="1" x14ac:dyDescent="0.3"/>
    <row r="26" spans="2:9" ht="45.75" thickBot="1" x14ac:dyDescent="0.3">
      <c r="B26" s="20" t="s">
        <v>7</v>
      </c>
      <c r="C26" s="18" t="s">
        <v>21</v>
      </c>
      <c r="D26" s="18" t="s">
        <v>22</v>
      </c>
      <c r="E26" s="23" t="s">
        <v>23</v>
      </c>
    </row>
    <row r="27" spans="2:9" x14ac:dyDescent="0.25">
      <c r="B27" s="14" t="s">
        <v>24</v>
      </c>
      <c r="C27" s="22" t="s">
        <v>25</v>
      </c>
      <c r="D27" s="22" t="s">
        <v>25</v>
      </c>
      <c r="E27" s="16"/>
    </row>
    <row r="28" spans="2:9" x14ac:dyDescent="0.25">
      <c r="B28" s="7" t="s">
        <v>13</v>
      </c>
      <c r="C28" s="5">
        <v>1</v>
      </c>
      <c r="D28" s="5">
        <v>1</v>
      </c>
      <c r="E28" s="8"/>
    </row>
    <row r="29" spans="2:9" x14ac:dyDescent="0.25">
      <c r="B29" s="7" t="s">
        <v>26</v>
      </c>
      <c r="C29" s="3">
        <v>0</v>
      </c>
      <c r="D29" s="3">
        <v>0</v>
      </c>
      <c r="E29" s="8"/>
    </row>
    <row r="30" spans="2:9" x14ac:dyDescent="0.25">
      <c r="B30" s="7"/>
      <c r="C30" s="3"/>
      <c r="D30" s="3"/>
      <c r="E30" s="8"/>
      <c r="G30" s="4"/>
    </row>
    <row r="31" spans="2:9" ht="15.75" thickBot="1" x14ac:dyDescent="0.3">
      <c r="B31" s="9" t="s">
        <v>27</v>
      </c>
      <c r="C31" s="10"/>
      <c r="D31" s="10"/>
      <c r="E31" s="12"/>
    </row>
  </sheetData>
  <mergeCells count="1">
    <mergeCell ref="B24:E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Fixed cost exF+50% Transv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cp:lastPrinted>2025-05-02T08:37:23Z</cp:lastPrinted>
  <dcterms:created xsi:type="dcterms:W3CDTF">2025-03-23T15:46:49Z</dcterms:created>
  <dcterms:modified xsi:type="dcterms:W3CDTF">2026-05-29T16:33:17Z</dcterms:modified>
</cp:coreProperties>
</file>