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ate1904="1"/>
  <mc:AlternateContent xmlns:mc="http://schemas.openxmlformats.org/markup-compatibility/2006">
    <mc:Choice Requires="x15">
      <x15ac:absPath xmlns:x15ac="http://schemas.microsoft.com/office/spreadsheetml/2010/11/ac" url="D:\Condivisa\GEWISS 2 x fine sett\GEWISS CONTEGGI\"/>
    </mc:Choice>
  </mc:AlternateContent>
  <xr:revisionPtr revIDLastSave="0" documentId="13_ncr:1_{24939D73-6F82-4BDB-8528-4B9B859AC162}" xr6:coauthVersionLast="47" xr6:coauthVersionMax="47" xr10:uidLastSave="{00000000-0000-0000-0000-000000000000}"/>
  <bookViews>
    <workbookView xWindow="2370" yWindow="3885" windowWidth="19395" windowHeight="1410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Foglio1!$A$58:$C$86</definedName>
    <definedName name="Print_Area" localSheetId="0">Foglio1!$A$1:$C$26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" i="1" l="1"/>
  <c r="C19" i="1"/>
  <c r="B75" i="1"/>
  <c r="C15" i="1"/>
  <c r="F10" i="1" l="1"/>
  <c r="F11" i="1"/>
  <c r="B51" i="1"/>
  <c r="C53" i="1" s="1"/>
  <c r="E55" i="1"/>
  <c r="E83" i="1" s="1"/>
  <c r="G83" i="1" s="1"/>
  <c r="H83" i="1" s="1"/>
  <c r="F48" i="1"/>
  <c r="F44" i="1"/>
  <c r="F36" i="1"/>
  <c r="F40" i="1"/>
  <c r="F32" i="1"/>
  <c r="G27" i="1"/>
  <c r="F28" i="1"/>
  <c r="F24" i="1"/>
  <c r="B23" i="1"/>
  <c r="B24" i="1"/>
  <c r="C25" i="1"/>
  <c r="B27" i="1"/>
  <c r="B28" i="1"/>
  <c r="C29" i="1"/>
  <c r="B31" i="1"/>
  <c r="B32" i="1"/>
  <c r="C33" i="1"/>
  <c r="B35" i="1"/>
  <c r="B36" i="1"/>
  <c r="C37" i="1"/>
  <c r="B39" i="1"/>
  <c r="B40" i="1"/>
  <c r="C41" i="1"/>
  <c r="B43" i="1"/>
  <c r="B44" i="1"/>
  <c r="C45" i="1"/>
  <c r="B47" i="1"/>
  <c r="C49" i="1"/>
  <c r="B59" i="1"/>
  <c r="B60" i="1"/>
  <c r="C61" i="1"/>
  <c r="B63" i="1"/>
  <c r="C65" i="1"/>
  <c r="B67" i="1"/>
  <c r="B68" i="1"/>
  <c r="C69" i="1"/>
  <c r="B71" i="1"/>
  <c r="B72" i="1"/>
  <c r="C73" i="1"/>
  <c r="C77" i="1"/>
  <c r="C79" i="1" s="1"/>
  <c r="C16" i="1" s="1"/>
  <c r="B83" i="1"/>
  <c r="B84" i="1"/>
  <c r="C85" i="1"/>
  <c r="H17" i="1"/>
  <c r="I17" i="1"/>
  <c r="H16" i="1"/>
  <c r="I16" i="1"/>
  <c r="I76" i="1"/>
  <c r="E76" i="1"/>
  <c r="F76" i="1"/>
  <c r="G76" i="1"/>
  <c r="D76" i="1"/>
  <c r="H75" i="1"/>
  <c r="E75" i="1"/>
  <c r="E84" i="1"/>
  <c r="G84" i="1"/>
  <c r="I52" i="1"/>
  <c r="E52" i="1"/>
  <c r="F52" i="1"/>
  <c r="H51" i="1"/>
  <c r="H82" i="1"/>
  <c r="I82" i="1"/>
  <c r="H56" i="1"/>
  <c r="I56" i="1"/>
  <c r="B10" i="1"/>
  <c r="B11" i="1"/>
  <c r="C12" i="1"/>
  <c r="I60" i="1"/>
  <c r="E60" i="1"/>
  <c r="F60" i="1"/>
  <c r="G60" i="1"/>
  <c r="D60" i="1"/>
  <c r="H59" i="1"/>
  <c r="E59" i="1"/>
  <c r="H58" i="1"/>
  <c r="I58" i="1"/>
  <c r="D11" i="1"/>
  <c r="I72" i="1"/>
  <c r="E72" i="1"/>
  <c r="F72" i="1"/>
  <c r="G72" i="1"/>
  <c r="D72" i="1"/>
  <c r="H71" i="1"/>
  <c r="E71" i="1"/>
  <c r="I48" i="1"/>
  <c r="H47" i="1"/>
  <c r="I68" i="1"/>
  <c r="E68" i="1"/>
  <c r="F68" i="1"/>
  <c r="G68" i="1"/>
  <c r="D68" i="1"/>
  <c r="H67" i="1"/>
  <c r="E67" i="1"/>
  <c r="I44" i="1"/>
  <c r="H43" i="1"/>
  <c r="I64" i="1"/>
  <c r="E64" i="1"/>
  <c r="F64" i="1"/>
  <c r="G64" i="1"/>
  <c r="D64" i="1"/>
  <c r="H63" i="1"/>
  <c r="E63" i="1"/>
  <c r="B114" i="1"/>
  <c r="I40" i="1"/>
  <c r="I36" i="1"/>
  <c r="I32" i="1"/>
  <c r="I28" i="1"/>
  <c r="C142" i="1"/>
  <c r="B135" i="1"/>
  <c r="B136" i="1"/>
  <c r="C137" i="1"/>
  <c r="C139" i="1"/>
  <c r="H136" i="1"/>
  <c r="D136" i="1"/>
  <c r="E136" i="1"/>
  <c r="H135" i="1"/>
  <c r="E135" i="1"/>
  <c r="H134" i="1"/>
  <c r="I134" i="1"/>
  <c r="I133" i="1"/>
  <c r="J133" i="1"/>
  <c r="K133" i="1"/>
  <c r="E133" i="1"/>
  <c r="I132" i="1"/>
  <c r="J132" i="1"/>
  <c r="K132" i="1"/>
  <c r="E132" i="1"/>
  <c r="I131" i="1"/>
  <c r="J131" i="1"/>
  <c r="K131" i="1"/>
  <c r="E131" i="1"/>
  <c r="D100" i="1"/>
  <c r="E100" i="1"/>
  <c r="E114" i="1"/>
  <c r="E115" i="1"/>
  <c r="E116" i="1"/>
  <c r="E117" i="1"/>
  <c r="E118" i="1"/>
  <c r="E119" i="1"/>
  <c r="E123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E110" i="1"/>
  <c r="E125" i="1"/>
  <c r="B119" i="1"/>
  <c r="B118" i="1"/>
  <c r="B117" i="1"/>
  <c r="B116" i="1"/>
  <c r="B115" i="1"/>
  <c r="B113" i="1"/>
  <c r="B98" i="1"/>
  <c r="D110" i="1"/>
  <c r="B110" i="1"/>
  <c r="E95" i="1"/>
  <c r="F95" i="1"/>
  <c r="I7" i="1"/>
  <c r="J7" i="1"/>
  <c r="K7" i="1"/>
  <c r="E7" i="1"/>
  <c r="I6" i="1"/>
  <c r="J6" i="1"/>
  <c r="K6" i="1"/>
  <c r="E6" i="1"/>
  <c r="E8" i="1"/>
  <c r="I8" i="1"/>
  <c r="J8" i="1"/>
  <c r="K8" i="1"/>
  <c r="F2" i="1"/>
  <c r="E2" i="1"/>
  <c r="C55" i="1" l="1"/>
  <c r="C18" i="1" l="1"/>
</calcChain>
</file>

<file path=xl/sharedStrings.xml><?xml version="1.0" encoding="utf-8"?>
<sst xmlns="http://schemas.openxmlformats.org/spreadsheetml/2006/main" count="139" uniqueCount="104">
  <si>
    <t>videate</t>
  </si>
  <si>
    <t>pop up</t>
  </si>
  <si>
    <t>test</t>
  </si>
  <si>
    <t>tot testi</t>
  </si>
  <si>
    <t>Testi parole</t>
  </si>
  <si>
    <t>Tot testi cartelle</t>
  </si>
  <si>
    <t>testi Pop up e test</t>
  </si>
  <si>
    <t>KOINE' snc</t>
  </si>
  <si>
    <t>cartelle</t>
  </si>
  <si>
    <t>5 lingue</t>
  </si>
  <si>
    <t xml:space="preserve"> +enel x 62</t>
  </si>
  <si>
    <t xml:space="preserve">servizi di traduzione  - editoria elettronica - multimedia 
Via Fornasio, 5 - 10092 BEINASCO (TO)  
Tel. 011 3971099  • Fax 011 3972261 
P. IVA 05758560014
E-mail: koine@koine.it
</t>
  </si>
  <si>
    <r>
      <rPr>
        <b/>
        <sz val="11"/>
        <rFont val="Arial"/>
        <family val="2"/>
      </rPr>
      <t>MATERIALE DA RICEVERE:</t>
    </r>
    <r>
      <rPr>
        <sz val="11"/>
        <rFont val="Arial"/>
        <family val="2"/>
      </rPr>
      <t xml:space="preserve">
 - storyboard approvato del corso con contenuti delle pagine + testo voiceover in pagina note
 - file audio per voiceover
 - eventuali immagini e video di vs. proprietà
 - traduzioni dei file word esportati nelle varie lingue</t>
    </r>
  </si>
  <si>
    <t>Costi unitari per ogni corso</t>
  </si>
  <si>
    <r>
      <t xml:space="preserve">Sviluppo delle pagine </t>
    </r>
    <r>
      <rPr>
        <b/>
        <sz val="11"/>
        <rFont val="Arial"/>
        <family val="2"/>
      </rPr>
      <t xml:space="preserve"> (70 PAGINE X EURO 50,00)</t>
    </r>
  </si>
  <si>
    <r>
      <t>Localizzazione in 6 lingue</t>
    </r>
    <r>
      <rPr>
        <b/>
        <sz val="11"/>
        <rFont val="Arial"/>
        <family val="2"/>
      </rPr>
      <t xml:space="preserve"> (Euro 250,00 X 6 lingue)</t>
    </r>
  </si>
  <si>
    <r>
      <rPr>
        <b/>
        <sz val="11"/>
        <rFont val="Arial"/>
        <family val="2"/>
      </rPr>
      <t>SPECIFICHE
Sviluppo di corsi online. Master Italiano e localizzazione nelle lingue Inglese - Francese - Spagnolo - Tedesco - Turco -  Rumeno</t>
    </r>
    <r>
      <rPr>
        <sz val="11"/>
        <rFont val="Arial"/>
        <family val="2"/>
      </rPr>
      <t xml:space="preserve">
 - Analisi storyboard e adattamento nel template
 - Sviluppo layout del WBT (realizzazione videate e montaggio nella struttura)
 - Esercitazioni e test finale 
 - Sviluppo di immagini ad hoc se non fornite dal Committente
 - Test di 10 domande (soglia di superamento da definire con tentativi illimitati e tracciamento)
</t>
    </r>
    <r>
      <rPr>
        <b/>
        <sz val="11"/>
        <rFont val="Arial"/>
        <family val="2"/>
      </rPr>
      <t>Formato di interoperabilità con la piattaforma</t>
    </r>
    <r>
      <rPr>
        <sz val="11"/>
        <rFont val="Arial"/>
        <family val="2"/>
      </rPr>
      <t xml:space="preserve">
 SCORM 1.2 o SCORM 2004 </t>
    </r>
  </si>
  <si>
    <t>TOTALE 1 CORSO in 7 LINGUE</t>
  </si>
  <si>
    <t>Preventivo progettazione e realizzazione corsi online - GEWISS - Mario Lange</t>
  </si>
  <si>
    <r>
      <rPr>
        <b/>
        <sz val="11"/>
        <rFont val="Arial"/>
        <family val="2"/>
      </rPr>
      <t xml:space="preserve">Ogni corso sarà composto da: </t>
    </r>
    <r>
      <rPr>
        <sz val="11"/>
        <rFont val="Arial"/>
        <family val="2"/>
      </rPr>
      <t xml:space="preserve">
 - 70/80 videate  con animazioni,  esercitazioni intermedie, interazioni, inclusa ricerca/inserimento di foto,  icone ove richiesto
 - sviluppo sulla base di storyboard (powerpoint) ricevuto
 - inserimento di file audio voiceover (audio) da voi ricevuti
 - 2 aree test di verifica per controllo di ogni corso sviluppato
 - consegna di pacchetti SCORM per caricamento su vs. piattaforma
 - esportazione testi in formato Word per traduzioni
 - eventuali ulteriori variazioni oltre 2 sessioni saranno conteggiate separatamente</t>
    </r>
  </si>
  <si>
    <t>PREVENTIVO SVILUPPO 8 CORSI IN 7 LINGUE</t>
  </si>
  <si>
    <t>AUDIO</t>
  </si>
  <si>
    <t>pagine</t>
  </si>
  <si>
    <t>audio</t>
  </si>
  <si>
    <t>CORSO 1 ELETTROTECNICA</t>
  </si>
  <si>
    <t>CORSO 2 ILLUMINOTECNICA mod 1</t>
  </si>
  <si>
    <t>CORSO 2 ILLUMINOTECNICA mod 2</t>
  </si>
  <si>
    <t>CORSO 4 BUILDING</t>
  </si>
  <si>
    <t>CORSO 3 INSTALLATION</t>
  </si>
  <si>
    <t>CORSO 5 LIGHTING</t>
  </si>
  <si>
    <t>CORSO 6 MOBILITY</t>
  </si>
  <si>
    <t>preventivato 70 X 7 lingue</t>
  </si>
  <si>
    <t>differenza</t>
  </si>
  <si>
    <t>costo  ita a pagina</t>
  </si>
  <si>
    <t>costo ITA pagine in più</t>
  </si>
  <si>
    <t>costo  EN a pagina</t>
  </si>
  <si>
    <t>costo  EN PAGINE AGGIUNTIVE</t>
  </si>
  <si>
    <t>costo  FR PAGINE AGGIUNTIVE</t>
  </si>
  <si>
    <t>costo  ES PAGINE AGGIUNTIVE</t>
  </si>
  <si>
    <t>costo DE PAGINE AGGIUNTIVE</t>
  </si>
  <si>
    <t>costo  RO PAGINE AGGIUNTIVE</t>
  </si>
  <si>
    <t>costo  TU PAGINE AGGIUNTIVE</t>
  </si>
  <si>
    <t>TOTALE AGGIUNTIVO</t>
  </si>
  <si>
    <t>CONSUNTIVO AL 2-5-2024</t>
  </si>
  <si>
    <r>
      <t xml:space="preserve">Corso 1 ELETTROTECNICA </t>
    </r>
    <r>
      <rPr>
        <b/>
        <sz val="11"/>
        <rFont val="Arial"/>
        <family val="2"/>
      </rPr>
      <t xml:space="preserve"> (129 PAGINE X EURO 50,00)</t>
    </r>
  </si>
  <si>
    <r>
      <t>Localizzazione in 6 lingue</t>
    </r>
    <r>
      <rPr>
        <b/>
        <sz val="11"/>
        <rFont val="Arial"/>
        <family val="2"/>
      </rPr>
      <t xml:space="preserve"> (Euro 460,00 X 6 lingue)</t>
    </r>
  </si>
  <si>
    <t>TOTALE Corso 1 ELETTROTECNICA  in 7 LINGUE</t>
  </si>
  <si>
    <r>
      <t xml:space="preserve">CORSO 2 ILLUMINOTECNICA mod 1 </t>
    </r>
    <r>
      <rPr>
        <b/>
        <sz val="11"/>
        <rFont val="Arial"/>
        <family val="2"/>
      </rPr>
      <t>(110 PAGINE X EURO 50,00)</t>
    </r>
  </si>
  <si>
    <t>1,5 GIORNATE *200</t>
  </si>
  <si>
    <r>
      <t>Localizzazione in 6 lingue</t>
    </r>
    <r>
      <rPr>
        <b/>
        <sz val="11"/>
        <rFont val="Arial"/>
        <family val="2"/>
      </rPr>
      <t xml:space="preserve"> (Euro 390,00 X 6 lingue)</t>
    </r>
  </si>
  <si>
    <r>
      <t xml:space="preserve">CORSO 2 ILLUMINOTECNICA mod 2 </t>
    </r>
    <r>
      <rPr>
        <b/>
        <sz val="11"/>
        <rFont val="Arial"/>
        <family val="2"/>
      </rPr>
      <t>(94 PAGINE X EURO 50,00)</t>
    </r>
  </si>
  <si>
    <r>
      <t>Localizzazione in 6 lingue</t>
    </r>
    <r>
      <rPr>
        <b/>
        <sz val="11"/>
        <rFont val="Arial"/>
        <family val="2"/>
      </rPr>
      <t xml:space="preserve"> (Euro 330,00 X 6 lingue)</t>
    </r>
  </si>
  <si>
    <t>TOTALE CORSO 2 ILLUMINOTECNICA Mod 1  in 7 LINGUE</t>
  </si>
  <si>
    <t>TOTALE CORSO 2 ILLUMINOTECNICA Mod 2 in 7 LINGUE</t>
  </si>
  <si>
    <r>
      <t xml:space="preserve">CORSO 3 INSTALLATION  </t>
    </r>
    <r>
      <rPr>
        <b/>
        <sz val="11"/>
        <rFont val="Arial"/>
        <family val="2"/>
      </rPr>
      <t>(216 PAGINE X EURO 50,00)</t>
    </r>
  </si>
  <si>
    <t>TOTALE CORSO 3 INSTALLATION in 7 LINGUE</t>
  </si>
  <si>
    <r>
      <t>Localizzazione in 6 lingue</t>
    </r>
    <r>
      <rPr>
        <b/>
        <sz val="11"/>
        <rFont val="Arial"/>
        <family val="2"/>
      </rPr>
      <t xml:space="preserve"> (Euro 530,00 X 6 lingue)</t>
    </r>
  </si>
  <si>
    <r>
      <t xml:space="preserve">CORSO 4 BUILDING  </t>
    </r>
    <r>
      <rPr>
        <b/>
        <sz val="11"/>
        <rFont val="Arial"/>
        <family val="2"/>
      </rPr>
      <t>(186 PAGINE X EURO 50,00)</t>
    </r>
  </si>
  <si>
    <t>TOTALE CORSO 4 BUILDING  in 7 LINGUE</t>
  </si>
  <si>
    <r>
      <t>Localizzazione in 6 lingue</t>
    </r>
    <r>
      <rPr>
        <b/>
        <sz val="11"/>
        <rFont val="Arial"/>
        <family val="2"/>
      </rPr>
      <t xml:space="preserve"> (Euro 450,00 X 6 lingue)</t>
    </r>
  </si>
  <si>
    <r>
      <t xml:space="preserve">CORSO 4 BUILDING   NH </t>
    </r>
    <r>
      <rPr>
        <b/>
        <sz val="11"/>
        <rFont val="Arial"/>
        <family val="2"/>
      </rPr>
      <t>(3 GIORNATE X EURO 188,00)</t>
    </r>
  </si>
  <si>
    <r>
      <t>Localizzazione in 6 lingue NH</t>
    </r>
    <r>
      <rPr>
        <b/>
        <sz val="11"/>
        <rFont val="Arial"/>
        <family val="2"/>
      </rPr>
      <t xml:space="preserve"> (3 GIORNATE X EURO 188,00 X 6 lingue)</t>
    </r>
  </si>
  <si>
    <t>TOTALE CORSO 3 INSTALLATION NH in 7 LINGUE</t>
  </si>
  <si>
    <r>
      <t xml:space="preserve">CORSO 3 INSTALLATION NH </t>
    </r>
    <r>
      <rPr>
        <b/>
        <sz val="11"/>
        <rFont val="Arial"/>
        <family val="2"/>
      </rPr>
      <t>(3 GIORNATE X EURO 188,00)</t>
    </r>
  </si>
  <si>
    <r>
      <t>Localizzazione in 6 lingue</t>
    </r>
    <r>
      <rPr>
        <b/>
        <sz val="11"/>
        <rFont val="Arial"/>
        <family val="2"/>
      </rPr>
      <t xml:space="preserve"> (3 GIORNATE X EURO 188,00 X 6 lingue)</t>
    </r>
  </si>
  <si>
    <t>TOTALE CORSO 4 BUILDING NH  in 7 LINGUE</t>
  </si>
  <si>
    <t>TOTALE CORSO 5 LIGHTING  in 7 LINGUE</t>
  </si>
  <si>
    <r>
      <t xml:space="preserve">CORSO 5 LIGHTING  </t>
    </r>
    <r>
      <rPr>
        <b/>
        <sz val="11"/>
        <rFont val="Arial"/>
        <family val="2"/>
      </rPr>
      <t>(194 PAGINE X EURO 50,00)</t>
    </r>
  </si>
  <si>
    <r>
      <t xml:space="preserve">CORSO 5 LIGHTING NH </t>
    </r>
    <r>
      <rPr>
        <b/>
        <sz val="11"/>
        <rFont val="Arial"/>
        <family val="2"/>
      </rPr>
      <t>(3 GIORNATE X EURO 188,00)</t>
    </r>
  </si>
  <si>
    <r>
      <t xml:space="preserve">CORSO 6 MOBILITY </t>
    </r>
    <r>
      <rPr>
        <b/>
        <sz val="11"/>
        <rFont val="Arial"/>
        <family val="2"/>
      </rPr>
      <t>(183 PAGINE X EURO 50,00)</t>
    </r>
  </si>
  <si>
    <r>
      <t xml:space="preserve">CORSO 6 MOBILITY NH </t>
    </r>
    <r>
      <rPr>
        <b/>
        <sz val="11"/>
        <rFont val="Arial"/>
        <family val="2"/>
      </rPr>
      <t>(3 GIORNATE X EURO 188,00)</t>
    </r>
  </si>
  <si>
    <r>
      <t>Localizzazione in 6 lingue</t>
    </r>
    <r>
      <rPr>
        <b/>
        <sz val="11"/>
        <rFont val="Arial"/>
        <family val="2"/>
      </rPr>
      <t xml:space="preserve"> (70 pagine ognuno Euro 250,00 X 6 lingue)</t>
    </r>
  </si>
  <si>
    <t>CONSUNTIVO CORSI NH RIDOTTI FINALI</t>
  </si>
  <si>
    <r>
      <t xml:space="preserve">Localizzazione in  lingua en </t>
    </r>
    <r>
      <rPr>
        <b/>
        <sz val="11"/>
        <rFont val="Arial"/>
        <family val="2"/>
      </rPr>
      <t xml:space="preserve"> (3 GIORNATE X EURO 188,00 X 1 lingua)</t>
    </r>
  </si>
  <si>
    <t>TOTALE CORSO 5 LIGHTING NH  in 2 LINGUE</t>
  </si>
  <si>
    <t>CONTEGGIO PRODUZIONE POWERPOINT DI TUTTI I CORSI</t>
  </si>
  <si>
    <t>lingue</t>
  </si>
  <si>
    <t>Preventivo costi unitari per ogni corso</t>
  </si>
  <si>
    <t>CONSUNTIVO SVILUPPO 4 CORSI NH IN 7 LINGUE</t>
  </si>
  <si>
    <r>
      <t xml:space="preserve">PRODUZIONE POWERPOINT 8 corsi in 6 lingue - 6.672 pagine)
</t>
    </r>
    <r>
      <rPr>
        <b/>
        <sz val="11"/>
        <rFont val="Arial"/>
        <family val="2"/>
      </rPr>
      <t>(20 GIORNATE X EURO 200,00)</t>
    </r>
  </si>
  <si>
    <r>
      <t xml:space="preserve">PRODUZIONE POWERPOINT NH - 5 corsi in 6 lingue 
</t>
    </r>
    <r>
      <rPr>
        <b/>
        <sz val="11"/>
        <rFont val="Arial"/>
        <family val="2"/>
      </rPr>
      <t>(5 GIORNATE X EURO 200,00)</t>
    </r>
  </si>
  <si>
    <t>TOTALE CORSO 6 MOBILITY NH in 2 LINGUE</t>
  </si>
  <si>
    <t xml:space="preserve">CONSUNTIVO PRODUZIONE POWERPOINT </t>
  </si>
  <si>
    <t>CONSUNTIVO CORSI NH RIDOTTI</t>
  </si>
  <si>
    <t>dettaglio</t>
  </si>
  <si>
    <t xml:space="preserve">TOTALE </t>
  </si>
  <si>
    <t xml:space="preserve">ORDINE 4700122605 RICEVUTO </t>
  </si>
  <si>
    <t>A PAGINA XLF</t>
  </si>
  <si>
    <t>PP</t>
  </si>
  <si>
    <t>ì</t>
  </si>
  <si>
    <t>Beinasco 04.09.2024</t>
  </si>
  <si>
    <t>Consuntivo realizzazione corsi online - GEWISS - Mario Lange al 04/09/2024</t>
  </si>
  <si>
    <r>
      <t xml:space="preserve">Localizzazzioni in lingua inglese </t>
    </r>
    <r>
      <rPr>
        <b/>
        <sz val="11"/>
        <rFont val="Arial"/>
        <family val="2"/>
      </rPr>
      <t xml:space="preserve"> (Euro 450,00 X 1 lingua)</t>
    </r>
  </si>
  <si>
    <t>TOTALE CORSO 7 ENERGY  in 1 LINGUA</t>
  </si>
  <si>
    <t xml:space="preserve">CONSUNTIVO SVILUPPO 7 CORSI </t>
  </si>
  <si>
    <t>CONSUNTIVO CORSI COMPLETI  FINALI (1.296 pagine)</t>
  </si>
  <si>
    <t>TOTALE CORSO 7 ENERGY NH in 1 LINGUA</t>
  </si>
  <si>
    <t>TOTALE CORSO 6 MOBILITY  in 2 LINGUE</t>
  </si>
  <si>
    <r>
      <t xml:space="preserve">CORSO 7 ENERGY </t>
    </r>
    <r>
      <rPr>
        <b/>
        <sz val="11"/>
        <rFont val="Arial"/>
        <family val="2"/>
      </rPr>
      <t>(208 PAGINE X EURO 50,00)</t>
    </r>
    <r>
      <rPr>
        <sz val="11"/>
        <rFont val="Arial"/>
        <family val="2"/>
      </rPr>
      <t xml:space="preserve"> </t>
    </r>
  </si>
  <si>
    <t>Localizzazione da ricevere</t>
  </si>
  <si>
    <t>Localizzazione  da ricevere</t>
  </si>
  <si>
    <r>
      <t xml:space="preserve">CORSO 7 ENERGY NH </t>
    </r>
    <r>
      <rPr>
        <b/>
        <sz val="11"/>
        <rFont val="Arial"/>
        <family val="2"/>
      </rPr>
      <t xml:space="preserve"> (2 GIORNATE X EURO 188,00) </t>
    </r>
  </si>
  <si>
    <t>TOTALE da ricevere</t>
  </si>
  <si>
    <t>CONTEGGIO PRODUZIONE POWERPOINT DI TUTTI I CORSI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</si>
</sst>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9"/>
      <name val="Geneva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i/>
      <sz val="12"/>
      <color indexed="10"/>
      <name val="Arial"/>
      <family val="2"/>
    </font>
    <font>
      <b/>
      <i/>
      <sz val="11"/>
      <color indexed="10"/>
      <name val="Arial"/>
      <family val="2"/>
    </font>
    <font>
      <sz val="11"/>
      <color indexed="17"/>
      <name val="Arial"/>
      <family val="2"/>
    </font>
    <font>
      <b/>
      <sz val="12"/>
      <color indexed="10"/>
      <name val="Arial"/>
      <family val="2"/>
    </font>
    <font>
      <sz val="8"/>
      <name val="Geneva"/>
      <family val="2"/>
    </font>
    <font>
      <b/>
      <i/>
      <sz val="11"/>
      <name val="Arial"/>
      <family val="2"/>
    </font>
    <font>
      <b/>
      <sz val="14"/>
      <name val="Arial"/>
      <family val="2"/>
    </font>
    <font>
      <sz val="14"/>
      <name val="Geneva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i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2" borderId="0" xfId="0" applyFont="1" applyFill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2" fontId="1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2" fontId="9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2" fontId="1" fillId="0" borderId="0" xfId="0" applyNumberFormat="1" applyFont="1"/>
    <xf numFmtId="0" fontId="11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" fontId="8" fillId="3" borderId="1" xfId="0" applyNumberFormat="1" applyFont="1" applyFill="1" applyBorder="1"/>
    <xf numFmtId="2" fontId="1" fillId="3" borderId="0" xfId="0" applyNumberFormat="1" applyFont="1" applyFill="1"/>
    <xf numFmtId="0" fontId="7" fillId="3" borderId="0" xfId="0" applyFont="1" applyFill="1"/>
    <xf numFmtId="4" fontId="13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2" fillId="0" borderId="0" xfId="0" applyFont="1" applyAlignment="1">
      <alignment horizontal="right"/>
    </xf>
    <xf numFmtId="4" fontId="2" fillId="0" borderId="5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/>
    </xf>
    <xf numFmtId="4" fontId="8" fillId="0" borderId="3" xfId="0" applyNumberFormat="1" applyFont="1" applyBorder="1"/>
    <xf numFmtId="0" fontId="16" fillId="0" borderId="0" xfId="0" applyFont="1" applyAlignment="1">
      <alignment horizontal="left" vertical="center" wrapText="1"/>
    </xf>
    <xf numFmtId="4" fontId="16" fillId="0" borderId="0" xfId="0" applyNumberFormat="1" applyFont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2" fontId="17" fillId="0" borderId="0" xfId="0" applyNumberFormat="1" applyFont="1" applyAlignment="1">
      <alignment vertical="center"/>
    </xf>
    <xf numFmtId="4" fontId="18" fillId="0" borderId="10" xfId="0" applyNumberFormat="1" applyFont="1" applyBorder="1"/>
    <xf numFmtId="0" fontId="16" fillId="4" borderId="0" xfId="0" applyFont="1" applyFill="1" applyAlignment="1">
      <alignment horizontal="left" vertical="center" wrapText="1"/>
    </xf>
    <xf numFmtId="4" fontId="16" fillId="4" borderId="0" xfId="0" applyNumberFormat="1" applyFont="1" applyFill="1" applyAlignment="1">
      <alignment horizontal="right" vertical="center"/>
    </xf>
    <xf numFmtId="2" fontId="16" fillId="4" borderId="0" xfId="0" applyNumberFormat="1" applyFont="1" applyFill="1" applyAlignment="1">
      <alignment horizontal="right" vertical="center"/>
    </xf>
    <xf numFmtId="0" fontId="17" fillId="4" borderId="0" xfId="0" applyFont="1" applyFill="1" applyAlignment="1">
      <alignment vertical="center"/>
    </xf>
    <xf numFmtId="2" fontId="17" fillId="4" borderId="0" xfId="0" applyNumberFormat="1" applyFont="1" applyFill="1" applyAlignment="1">
      <alignment vertical="center"/>
    </xf>
    <xf numFmtId="0" fontId="16" fillId="0" borderId="4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2" fontId="1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2" fontId="17" fillId="0" borderId="0" xfId="0" applyNumberFormat="1" applyFont="1" applyAlignment="1">
      <alignment vertical="center" wrapText="1"/>
    </xf>
    <xf numFmtId="4" fontId="20" fillId="0" borderId="0" xfId="0" applyNumberFormat="1" applyFont="1" applyAlignment="1">
      <alignment horizontal="right" vertical="center"/>
    </xf>
    <xf numFmtId="0" fontId="1" fillId="4" borderId="0" xfId="0" applyFont="1" applyFill="1" applyAlignment="1">
      <alignment horizontal="right"/>
    </xf>
    <xf numFmtId="0" fontId="1" fillId="4" borderId="0" xfId="0" applyFont="1" applyFill="1"/>
    <xf numFmtId="0" fontId="14" fillId="2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5" fillId="0" borderId="2" xfId="0" applyFont="1" applyBorder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ipFPX applÄRstrnπ{gripFPixthnr">
    <pageSetUpPr fitToPage="1"/>
  </sheetPr>
  <dimension ref="A1:M143"/>
  <sheetViews>
    <sheetView tabSelected="1" topLeftCell="A76" zoomScale="85" zoomScaleNormal="85" workbookViewId="0">
      <selection activeCell="C86" sqref="A58:C86"/>
    </sheetView>
  </sheetViews>
  <sheetFormatPr defaultColWidth="10.85546875" defaultRowHeight="14.25"/>
  <cols>
    <col min="1" max="1" width="77.85546875" style="1" customWidth="1"/>
    <col min="2" max="2" width="15.42578125" style="1" customWidth="1"/>
    <col min="3" max="3" width="22.42578125" style="1" customWidth="1"/>
    <col min="4" max="4" width="16" style="2" customWidth="1"/>
    <col min="5" max="5" width="24" style="2" customWidth="1"/>
    <col min="6" max="6" width="22.28515625" style="2" customWidth="1"/>
    <col min="7" max="7" width="10.140625" style="2" customWidth="1"/>
    <col min="8" max="8" width="12.42578125" style="2" customWidth="1"/>
    <col min="9" max="16384" width="10.85546875" style="2"/>
  </cols>
  <sheetData>
    <row r="1" spans="1:13" ht="38.1" customHeight="1">
      <c r="A1" s="8" t="s">
        <v>7</v>
      </c>
      <c r="B1" s="10"/>
      <c r="C1" s="10"/>
      <c r="D1" s="10"/>
    </row>
    <row r="2" spans="1:13" ht="94.5" customHeight="1">
      <c r="A2" s="9" t="s">
        <v>11</v>
      </c>
      <c r="B2" s="4"/>
      <c r="C2" s="5" t="s">
        <v>90</v>
      </c>
      <c r="D2" s="5"/>
      <c r="E2" s="2">
        <f>63*20%</f>
        <v>12.600000000000001</v>
      </c>
      <c r="F2" s="16" t="e">
        <f>#REF!+13</f>
        <v>#REF!</v>
      </c>
    </row>
    <row r="3" spans="1:13" ht="12" customHeight="1">
      <c r="A3" s="9"/>
      <c r="B3" s="4"/>
      <c r="C3" s="4"/>
      <c r="D3" s="5"/>
    </row>
    <row r="4" spans="1:13" s="3" customFormat="1" ht="32.1" customHeight="1">
      <c r="A4" s="63" t="s">
        <v>91</v>
      </c>
      <c r="B4" s="64"/>
      <c r="C4" s="65"/>
      <c r="D4" s="2"/>
      <c r="E4" s="6" t="s">
        <v>0</v>
      </c>
      <c r="F4" s="6" t="s">
        <v>87</v>
      </c>
      <c r="G4" s="6" t="s">
        <v>2</v>
      </c>
      <c r="H4" s="6" t="s">
        <v>4</v>
      </c>
      <c r="I4" s="6" t="s">
        <v>6</v>
      </c>
      <c r="J4" s="6" t="s">
        <v>3</v>
      </c>
      <c r="K4" s="6" t="s">
        <v>5</v>
      </c>
    </row>
    <row r="5" spans="1:13" s="7" customFormat="1" ht="9" customHeight="1">
      <c r="A5" s="17"/>
      <c r="B5" s="15"/>
      <c r="C5" s="22"/>
      <c r="D5" s="23"/>
      <c r="E5" s="23"/>
      <c r="H5" s="11"/>
      <c r="J5" s="7" t="s">
        <v>8</v>
      </c>
      <c r="M5" s="7" t="s">
        <v>9</v>
      </c>
    </row>
    <row r="6" spans="1:13" s="7" customFormat="1" ht="150" hidden="1" customHeight="1">
      <c r="A6" s="66" t="s">
        <v>16</v>
      </c>
      <c r="B6" s="67"/>
      <c r="C6" s="67"/>
      <c r="D6" s="24"/>
      <c r="E6" s="7">
        <f>41+57+34</f>
        <v>132</v>
      </c>
      <c r="F6" s="7" t="s">
        <v>10</v>
      </c>
      <c r="I6" s="7" t="e">
        <f>F6*200</f>
        <v>#VALUE!</v>
      </c>
      <c r="J6" s="7" t="e">
        <f>I6+H6</f>
        <v>#VALUE!</v>
      </c>
      <c r="K6" s="7" t="e">
        <f>J6/200</f>
        <v>#VALUE!</v>
      </c>
    </row>
    <row r="7" spans="1:13" s="7" customFormat="1" ht="134.25" hidden="1" customHeight="1">
      <c r="A7" s="66" t="s">
        <v>19</v>
      </c>
      <c r="B7" s="67"/>
      <c r="C7" s="67"/>
      <c r="D7" s="24"/>
      <c r="E7" s="7">
        <f>41+57+34</f>
        <v>132</v>
      </c>
      <c r="F7" s="7" t="s">
        <v>10</v>
      </c>
      <c r="I7" s="7" t="e">
        <f>F7*200</f>
        <v>#VALUE!</v>
      </c>
      <c r="J7" s="7" t="e">
        <f>I7+H7</f>
        <v>#VALUE!</v>
      </c>
      <c r="K7" s="7" t="e">
        <f>J7/200</f>
        <v>#VALUE!</v>
      </c>
    </row>
    <row r="8" spans="1:13" s="7" customFormat="1" ht="92.25" hidden="1" customHeight="1">
      <c r="A8" s="66" t="s">
        <v>12</v>
      </c>
      <c r="B8" s="67"/>
      <c r="C8" s="67"/>
      <c r="D8" s="24"/>
      <c r="E8" s="7">
        <f>41+57+34</f>
        <v>132</v>
      </c>
      <c r="F8" s="7" t="s">
        <v>10</v>
      </c>
      <c r="I8" s="7" t="e">
        <f>F8*200</f>
        <v>#VALUE!</v>
      </c>
      <c r="J8" s="7" t="e">
        <f>I8+H8</f>
        <v>#VALUE!</v>
      </c>
      <c r="K8" s="7" t="e">
        <f>J8/200</f>
        <v>#VALUE!</v>
      </c>
    </row>
    <row r="9" spans="1:13" s="7" customFormat="1" ht="36" customHeight="1">
      <c r="A9" s="48" t="s">
        <v>77</v>
      </c>
      <c r="B9" s="31"/>
      <c r="C9" s="32"/>
      <c r="D9" s="12"/>
      <c r="G9" s="11"/>
      <c r="H9" s="11"/>
    </row>
    <row r="10" spans="1:13" s="7" customFormat="1" ht="19.5" customHeight="1">
      <c r="A10" s="33" t="s">
        <v>14</v>
      </c>
      <c r="B10" s="15">
        <f>70*50</f>
        <v>3500</v>
      </c>
      <c r="C10" s="34"/>
      <c r="D10" s="13">
        <v>50</v>
      </c>
      <c r="E10" s="7">
        <v>70</v>
      </c>
      <c r="F10" s="14">
        <f>D10*E10</f>
        <v>3500</v>
      </c>
    </row>
    <row r="11" spans="1:13" s="7" customFormat="1" ht="24" customHeight="1">
      <c r="A11" s="33" t="s">
        <v>71</v>
      </c>
      <c r="B11" s="15">
        <f>250*6</f>
        <v>1500</v>
      </c>
      <c r="C11" s="34"/>
      <c r="D11" s="13">
        <f>1500/6</f>
        <v>250</v>
      </c>
      <c r="E11" s="7">
        <v>70</v>
      </c>
      <c r="F11" s="14">
        <f>D11/E11</f>
        <v>3.5714285714285716</v>
      </c>
    </row>
    <row r="12" spans="1:13" s="21" customFormat="1" ht="24" customHeight="1">
      <c r="A12" s="35" t="s">
        <v>17</v>
      </c>
      <c r="B12" s="36"/>
      <c r="C12" s="42">
        <f>B10+B11</f>
        <v>5000</v>
      </c>
      <c r="D12" s="13"/>
      <c r="E12" s="20"/>
      <c r="F12" s="20"/>
    </row>
    <row r="13" spans="1:13" s="7" customFormat="1" ht="36" customHeight="1">
      <c r="B13" s="15"/>
      <c r="C13" s="60">
        <v>40000</v>
      </c>
      <c r="D13" s="12"/>
      <c r="G13" s="11"/>
      <c r="H13" s="11"/>
    </row>
    <row r="14" spans="1:13" s="7" customFormat="1" ht="17.25" customHeight="1">
      <c r="A14" s="49" t="s">
        <v>86</v>
      </c>
      <c r="B14" s="15"/>
      <c r="C14" s="60"/>
      <c r="D14" s="12"/>
      <c r="G14" s="11"/>
      <c r="H14" s="11"/>
    </row>
    <row r="15" spans="1:13" s="54" customFormat="1" ht="36" customHeight="1">
      <c r="A15" s="50" t="s">
        <v>95</v>
      </c>
      <c r="B15" s="51"/>
      <c r="C15" s="52">
        <f>C55</f>
        <v>82794</v>
      </c>
      <c r="D15" s="53"/>
      <c r="G15" s="55"/>
      <c r="H15" s="55"/>
    </row>
    <row r="16" spans="1:13" s="58" customFormat="1" ht="36" customHeight="1">
      <c r="A16" s="50" t="s">
        <v>72</v>
      </c>
      <c r="B16" s="56"/>
      <c r="C16" s="52">
        <f>C79</f>
        <v>13348</v>
      </c>
      <c r="D16" s="57"/>
      <c r="F16" s="58">
        <v>10</v>
      </c>
      <c r="G16" s="59">
        <v>200</v>
      </c>
      <c r="H16" s="59">
        <f t="shared" ref="H16:H17" si="0">G16*F16</f>
        <v>2000</v>
      </c>
      <c r="I16" s="58">
        <f>H16/200</f>
        <v>10</v>
      </c>
    </row>
    <row r="17" spans="1:10" s="58" customFormat="1" ht="36" customHeight="1">
      <c r="A17" s="50" t="s">
        <v>75</v>
      </c>
      <c r="B17" s="56"/>
      <c r="C17" s="52">
        <v>0</v>
      </c>
      <c r="D17" s="57"/>
      <c r="E17" s="58" t="s">
        <v>22</v>
      </c>
      <c r="F17" s="58" t="s">
        <v>76</v>
      </c>
      <c r="G17" s="59">
        <v>200</v>
      </c>
      <c r="H17" s="59" t="e">
        <f t="shared" si="0"/>
        <v>#VALUE!</v>
      </c>
      <c r="I17" s="58" t="e">
        <f>H17/200</f>
        <v>#VALUE!</v>
      </c>
    </row>
    <row r="18" spans="1:10" s="21" customFormat="1" ht="24" customHeight="1" thickBot="1">
      <c r="A18" s="18" t="s">
        <v>85</v>
      </c>
      <c r="B18" s="19"/>
      <c r="C18" s="19">
        <f>SUM(C15:C17)</f>
        <v>96142</v>
      </c>
      <c r="D18" s="20"/>
      <c r="E18" s="20"/>
      <c r="F18" s="20"/>
    </row>
    <row r="19" spans="1:10" s="21" customFormat="1" ht="24" customHeight="1" thickTop="1" thickBot="1">
      <c r="A19" s="18" t="s">
        <v>102</v>
      </c>
      <c r="B19" s="19"/>
      <c r="C19" s="19">
        <f>C18-C13</f>
        <v>56142</v>
      </c>
      <c r="D19" s="20"/>
      <c r="E19" s="20"/>
      <c r="F19" s="20"/>
    </row>
    <row r="20" spans="1:10" s="40" customFormat="1" ht="36" customHeight="1" thickTop="1">
      <c r="A20" s="49"/>
      <c r="B20" s="38"/>
      <c r="C20" s="38"/>
      <c r="D20" s="39"/>
      <c r="G20" s="41"/>
      <c r="H20" s="41"/>
    </row>
    <row r="21" spans="1:10" s="40" customFormat="1" ht="36" customHeight="1">
      <c r="A21" s="49" t="s">
        <v>84</v>
      </c>
      <c r="B21" s="38"/>
      <c r="C21" s="38"/>
      <c r="D21" s="39"/>
      <c r="G21" s="41"/>
      <c r="H21" s="41"/>
    </row>
    <row r="22" spans="1:10" s="40" customFormat="1" ht="36" customHeight="1">
      <c r="A22" s="49" t="s">
        <v>95</v>
      </c>
      <c r="B22" s="38"/>
      <c r="C22" s="38"/>
      <c r="D22" s="39"/>
      <c r="E22" s="40" t="s">
        <v>88</v>
      </c>
      <c r="G22" s="41"/>
      <c r="H22" s="41"/>
    </row>
    <row r="23" spans="1:10" s="7" customFormat="1" ht="19.5" customHeight="1">
      <c r="A23" s="9" t="s">
        <v>44</v>
      </c>
      <c r="B23" s="15">
        <f>129*50</f>
        <v>6450</v>
      </c>
      <c r="C23" s="15"/>
      <c r="D23" s="13"/>
      <c r="E23" s="7">
        <v>129</v>
      </c>
      <c r="F23" s="14">
        <v>50</v>
      </c>
      <c r="J23" s="7">
        <v>20</v>
      </c>
    </row>
    <row r="24" spans="1:10" s="7" customFormat="1" ht="24" customHeight="1">
      <c r="A24" s="9" t="s">
        <v>45</v>
      </c>
      <c r="B24" s="15">
        <f>460*6</f>
        <v>2760</v>
      </c>
      <c r="C24" s="15"/>
      <c r="D24" s="13">
        <v>460</v>
      </c>
      <c r="E24" s="7">
        <v>129</v>
      </c>
      <c r="F24" s="14">
        <f>D24/E24</f>
        <v>3.5658914728682172</v>
      </c>
    </row>
    <row r="25" spans="1:10" s="21" customFormat="1" ht="24" customHeight="1" thickBot="1">
      <c r="A25" s="18" t="s">
        <v>46</v>
      </c>
      <c r="B25" s="19"/>
      <c r="C25" s="19">
        <f>B23+B24</f>
        <v>9210</v>
      </c>
      <c r="D25" s="20"/>
      <c r="E25" s="20"/>
      <c r="F25" s="20"/>
    </row>
    <row r="26" spans="1:10" s="7" customFormat="1" ht="22.5" customHeight="1" thickTop="1">
      <c r="A26" s="9"/>
      <c r="B26" s="15"/>
      <c r="C26" s="15"/>
      <c r="D26" s="13"/>
      <c r="F26" s="14"/>
    </row>
    <row r="27" spans="1:10" s="7" customFormat="1" ht="19.5" customHeight="1">
      <c r="A27" s="9" t="s">
        <v>47</v>
      </c>
      <c r="B27" s="15">
        <f>110*50</f>
        <v>5500</v>
      </c>
      <c r="C27" s="15"/>
      <c r="D27" s="13"/>
      <c r="E27" s="7">
        <v>110</v>
      </c>
      <c r="F27" s="14">
        <v>50</v>
      </c>
      <c r="G27" s="7">
        <f>E27*F27</f>
        <v>5500</v>
      </c>
      <c r="J27" s="7">
        <v>20</v>
      </c>
    </row>
    <row r="28" spans="1:10" s="7" customFormat="1" ht="24" customHeight="1">
      <c r="A28" s="9" t="s">
        <v>49</v>
      </c>
      <c r="B28" s="15">
        <f>390*6</f>
        <v>2340</v>
      </c>
      <c r="C28" s="15"/>
      <c r="D28" s="13">
        <v>390</v>
      </c>
      <c r="E28" s="7">
        <v>110</v>
      </c>
      <c r="F28" s="14">
        <f>D28/E28</f>
        <v>3.5454545454545454</v>
      </c>
      <c r="G28" s="7" t="s">
        <v>48</v>
      </c>
      <c r="I28" s="7">
        <f>1.5*200</f>
        <v>300</v>
      </c>
    </row>
    <row r="29" spans="1:10" s="21" customFormat="1" ht="24" customHeight="1" thickBot="1">
      <c r="A29" s="18" t="s">
        <v>52</v>
      </c>
      <c r="B29" s="19"/>
      <c r="C29" s="19">
        <f>B27+B28</f>
        <v>7840</v>
      </c>
      <c r="D29" s="20"/>
      <c r="E29" s="20"/>
      <c r="F29" s="20"/>
    </row>
    <row r="30" spans="1:10" ht="21.75" customHeight="1" thickTop="1"/>
    <row r="31" spans="1:10" s="7" customFormat="1" ht="19.5" customHeight="1">
      <c r="A31" s="9" t="s">
        <v>50</v>
      </c>
      <c r="B31" s="15">
        <f>94*50</f>
        <v>4700</v>
      </c>
      <c r="C31" s="15"/>
      <c r="D31" s="13"/>
      <c r="E31" s="7">
        <v>94</v>
      </c>
      <c r="F31" s="14">
        <v>50</v>
      </c>
      <c r="J31" s="7">
        <v>20</v>
      </c>
    </row>
    <row r="32" spans="1:10" s="7" customFormat="1" ht="24" customHeight="1">
      <c r="A32" s="9" t="s">
        <v>51</v>
      </c>
      <c r="B32" s="15">
        <f>330*6</f>
        <v>1980</v>
      </c>
      <c r="C32" s="15"/>
      <c r="D32" s="13">
        <v>330</v>
      </c>
      <c r="E32" s="7">
        <v>94</v>
      </c>
      <c r="F32" s="14">
        <f>D32/E32</f>
        <v>3.5106382978723403</v>
      </c>
      <c r="G32" s="7" t="s">
        <v>48</v>
      </c>
      <c r="I32" s="7">
        <f>1.5*200</f>
        <v>300</v>
      </c>
    </row>
    <row r="33" spans="1:10" s="21" customFormat="1" ht="24" customHeight="1" thickBot="1">
      <c r="A33" s="18" t="s">
        <v>53</v>
      </c>
      <c r="B33" s="19"/>
      <c r="C33" s="19">
        <f>B31+B32</f>
        <v>6680</v>
      </c>
      <c r="D33" s="20"/>
      <c r="E33" s="20"/>
      <c r="F33" s="20"/>
    </row>
    <row r="34" spans="1:10" ht="19.5" customHeight="1" thickTop="1"/>
    <row r="35" spans="1:10" s="7" customFormat="1" ht="19.5" customHeight="1">
      <c r="A35" s="9" t="s">
        <v>54</v>
      </c>
      <c r="B35" s="15">
        <f>216*50</f>
        <v>10800</v>
      </c>
      <c r="C35" s="15"/>
      <c r="D35" s="13"/>
      <c r="E35" s="7">
        <v>216</v>
      </c>
      <c r="F35" s="14">
        <v>50</v>
      </c>
      <c r="J35" s="7">
        <v>20</v>
      </c>
    </row>
    <row r="36" spans="1:10" s="7" customFormat="1" ht="24" customHeight="1">
      <c r="A36" s="9" t="s">
        <v>56</v>
      </c>
      <c r="B36" s="15">
        <f>530*6</f>
        <v>3180</v>
      </c>
      <c r="C36" s="15"/>
      <c r="D36" s="13">
        <v>530</v>
      </c>
      <c r="E36" s="7">
        <v>216</v>
      </c>
      <c r="F36" s="14">
        <f>D36/E36</f>
        <v>2.4537037037037037</v>
      </c>
      <c r="H36" s="7" t="s">
        <v>48</v>
      </c>
      <c r="I36" s="7">
        <f>1.5*200</f>
        <v>300</v>
      </c>
    </row>
    <row r="37" spans="1:10" s="21" customFormat="1" ht="24" customHeight="1" thickBot="1">
      <c r="A37" s="18" t="s">
        <v>55</v>
      </c>
      <c r="B37" s="19"/>
      <c r="C37" s="19">
        <f>B35+B36</f>
        <v>13980</v>
      </c>
      <c r="D37" s="20"/>
      <c r="E37" s="20"/>
      <c r="F37" s="20"/>
    </row>
    <row r="38" spans="1:10" ht="23.25" customHeight="1" thickTop="1"/>
    <row r="39" spans="1:10" s="7" customFormat="1" ht="19.5" customHeight="1">
      <c r="A39" s="9" t="s">
        <v>57</v>
      </c>
      <c r="B39" s="15">
        <f>186*50</f>
        <v>9300</v>
      </c>
      <c r="C39" s="15"/>
      <c r="D39" s="13"/>
      <c r="E39" s="7">
        <v>186</v>
      </c>
      <c r="F39" s="14">
        <v>50</v>
      </c>
      <c r="G39" s="7" t="s">
        <v>89</v>
      </c>
      <c r="J39" s="7">
        <v>20</v>
      </c>
    </row>
    <row r="40" spans="1:10" s="7" customFormat="1" ht="24" customHeight="1">
      <c r="A40" s="9" t="s">
        <v>59</v>
      </c>
      <c r="B40" s="15">
        <f>450*6</f>
        <v>2700</v>
      </c>
      <c r="C40" s="15"/>
      <c r="D40" s="13">
        <v>450</v>
      </c>
      <c r="E40" s="7">
        <v>186</v>
      </c>
      <c r="F40" s="14">
        <f>D40/E40</f>
        <v>2.4193548387096775</v>
      </c>
      <c r="H40" s="7" t="s">
        <v>48</v>
      </c>
      <c r="I40" s="7">
        <f>1.5*200</f>
        <v>300</v>
      </c>
    </row>
    <row r="41" spans="1:10" s="21" customFormat="1" ht="24" customHeight="1" thickBot="1">
      <c r="A41" s="18" t="s">
        <v>58</v>
      </c>
      <c r="B41" s="19"/>
      <c r="C41" s="19">
        <f>B39+B40</f>
        <v>12000</v>
      </c>
      <c r="D41" s="20"/>
      <c r="E41" s="20"/>
      <c r="F41" s="20"/>
    </row>
    <row r="42" spans="1:10" ht="24" customHeight="1" thickTop="1"/>
    <row r="43" spans="1:10" s="7" customFormat="1" ht="19.5" customHeight="1">
      <c r="A43" s="9" t="s">
        <v>67</v>
      </c>
      <c r="B43" s="15">
        <f>194*50</f>
        <v>9700</v>
      </c>
      <c r="C43" s="15"/>
      <c r="D43" s="13"/>
      <c r="E43" s="7">
        <v>194</v>
      </c>
      <c r="F43" s="14">
        <v>50</v>
      </c>
      <c r="H43" s="7">
        <f t="shared" ref="H43" si="1">G43*F43</f>
        <v>0</v>
      </c>
      <c r="J43" s="7">
        <v>20</v>
      </c>
    </row>
    <row r="44" spans="1:10" s="7" customFormat="1" ht="24" customHeight="1">
      <c r="A44" s="9" t="s">
        <v>59</v>
      </c>
      <c r="B44" s="15">
        <f>3*188*6</f>
        <v>3384</v>
      </c>
      <c r="C44" s="15"/>
      <c r="D44" s="13">
        <v>450</v>
      </c>
      <c r="E44" s="7">
        <v>194</v>
      </c>
      <c r="F44" s="14">
        <f>D44/E44</f>
        <v>2.3195876288659796</v>
      </c>
      <c r="H44" s="7" t="s">
        <v>48</v>
      </c>
      <c r="I44" s="7">
        <f>1.5*200</f>
        <v>300</v>
      </c>
    </row>
    <row r="45" spans="1:10" s="21" customFormat="1" ht="24" customHeight="1" thickBot="1">
      <c r="A45" s="18" t="s">
        <v>66</v>
      </c>
      <c r="B45" s="19"/>
      <c r="C45" s="19">
        <f>B43+B44</f>
        <v>13084</v>
      </c>
      <c r="D45" s="20"/>
      <c r="E45" s="20"/>
      <c r="F45" s="20"/>
    </row>
    <row r="46" spans="1:10" ht="16.149999999999999" customHeight="1" thickTop="1"/>
    <row r="47" spans="1:10" s="7" customFormat="1" ht="19.5" customHeight="1">
      <c r="A47" s="9" t="s">
        <v>69</v>
      </c>
      <c r="B47" s="15">
        <f>183*50</f>
        <v>9150</v>
      </c>
      <c r="C47" s="15"/>
      <c r="D47" s="13"/>
      <c r="E47" s="7">
        <v>183</v>
      </c>
      <c r="F47" s="14">
        <v>50</v>
      </c>
      <c r="H47" s="7">
        <f t="shared" ref="H47" si="2">G47*F47</f>
        <v>0</v>
      </c>
      <c r="J47" s="7">
        <v>20</v>
      </c>
    </row>
    <row r="48" spans="1:10" s="7" customFormat="1" ht="24" customHeight="1">
      <c r="A48" s="9" t="s">
        <v>92</v>
      </c>
      <c r="B48" s="15">
        <v>450</v>
      </c>
      <c r="C48" s="15"/>
      <c r="D48" s="13">
        <v>450</v>
      </c>
      <c r="E48" s="7">
        <v>183</v>
      </c>
      <c r="F48" s="14">
        <f>D48/E48</f>
        <v>2.459016393442623</v>
      </c>
      <c r="H48" s="7" t="s">
        <v>48</v>
      </c>
      <c r="I48" s="7">
        <f>1.5*200</f>
        <v>300</v>
      </c>
    </row>
    <row r="49" spans="1:10" s="21" customFormat="1" ht="24" customHeight="1" thickBot="1">
      <c r="A49" s="18" t="s">
        <v>97</v>
      </c>
      <c r="B49" s="19"/>
      <c r="C49" s="19">
        <f>B47+B48</f>
        <v>9600</v>
      </c>
      <c r="D49" s="20"/>
      <c r="E49" s="20"/>
      <c r="F49" s="20"/>
    </row>
    <row r="50" spans="1:10" ht="21" customHeight="1" thickTop="1"/>
    <row r="51" spans="1:10" s="7" customFormat="1" ht="19.5" customHeight="1">
      <c r="A51" s="9" t="s">
        <v>98</v>
      </c>
      <c r="B51" s="15">
        <f>208*50</f>
        <v>10400</v>
      </c>
      <c r="C51" s="15"/>
      <c r="D51" s="13"/>
      <c r="E51" s="7">
        <v>184</v>
      </c>
      <c r="F51" s="14">
        <v>90</v>
      </c>
      <c r="H51" s="7">
        <f t="shared" ref="H51" si="3">G51*F51</f>
        <v>0</v>
      </c>
      <c r="J51" s="7">
        <v>20</v>
      </c>
    </row>
    <row r="52" spans="1:10" s="7" customFormat="1" ht="24" customHeight="1">
      <c r="A52" s="9" t="s">
        <v>99</v>
      </c>
      <c r="B52" s="15">
        <v>0</v>
      </c>
      <c r="C52" s="15"/>
      <c r="D52" s="13">
        <v>460</v>
      </c>
      <c r="E52" s="7">
        <f>250/70</f>
        <v>3.5714285714285716</v>
      </c>
      <c r="F52" s="14">
        <f>E52*183</f>
        <v>653.57142857142856</v>
      </c>
      <c r="H52" s="7" t="s">
        <v>48</v>
      </c>
      <c r="I52" s="7">
        <f>1.5*200</f>
        <v>300</v>
      </c>
    </row>
    <row r="53" spans="1:10" s="21" customFormat="1" ht="24" customHeight="1" thickBot="1">
      <c r="A53" s="18" t="s">
        <v>93</v>
      </c>
      <c r="B53" s="19"/>
      <c r="C53" s="19">
        <f>B51+B52</f>
        <v>10400</v>
      </c>
      <c r="D53" s="20"/>
      <c r="E53" s="20"/>
      <c r="F53" s="20"/>
    </row>
    <row r="54" spans="1:10" ht="15" thickTop="1"/>
    <row r="55" spans="1:10" s="21" customFormat="1" ht="24" customHeight="1" thickBot="1">
      <c r="A55" s="18" t="s">
        <v>94</v>
      </c>
      <c r="B55" s="19"/>
      <c r="C55" s="19">
        <f>SUM(C25:C54)</f>
        <v>82794</v>
      </c>
      <c r="D55" s="20"/>
      <c r="E55" s="20">
        <f>E23+E27+E31+E35+E39+E43+E47+E51</f>
        <v>1296</v>
      </c>
      <c r="F55" s="20"/>
    </row>
    <row r="56" spans="1:10" s="40" customFormat="1" ht="36" customHeight="1" thickTop="1">
      <c r="A56" s="37"/>
      <c r="B56" s="38"/>
      <c r="C56" s="38"/>
      <c r="D56" s="39"/>
      <c r="F56" s="40">
        <v>10</v>
      </c>
      <c r="G56" s="41">
        <v>200</v>
      </c>
      <c r="H56" s="41">
        <f t="shared" ref="H56" si="4">G56*F56</f>
        <v>2000</v>
      </c>
      <c r="I56" s="40">
        <f>H56/200</f>
        <v>10</v>
      </c>
    </row>
    <row r="57" spans="1:10" s="46" customFormat="1" ht="7.5" customHeight="1">
      <c r="A57" s="43"/>
      <c r="B57" s="44"/>
      <c r="C57" s="44"/>
      <c r="D57" s="45"/>
      <c r="G57" s="47"/>
      <c r="H57" s="47"/>
    </row>
    <row r="58" spans="1:10" s="40" customFormat="1" ht="36" customHeight="1">
      <c r="A58" s="49" t="s">
        <v>83</v>
      </c>
      <c r="B58" s="38"/>
      <c r="C58" s="38"/>
      <c r="D58" s="39"/>
      <c r="F58" s="40">
        <v>10</v>
      </c>
      <c r="G58" s="41">
        <v>200</v>
      </c>
      <c r="H58" s="41">
        <f t="shared" ref="H58:H59" si="5">G58*F58</f>
        <v>2000</v>
      </c>
      <c r="I58" s="40">
        <f>H58/200</f>
        <v>10</v>
      </c>
    </row>
    <row r="59" spans="1:10" s="7" customFormat="1" ht="19.5" customHeight="1">
      <c r="A59" s="9" t="s">
        <v>63</v>
      </c>
      <c r="B59" s="15">
        <f>188*3</f>
        <v>564</v>
      </c>
      <c r="C59" s="15"/>
      <c r="D59" s="13"/>
      <c r="E59" s="7">
        <f>129-70</f>
        <v>59</v>
      </c>
      <c r="F59" s="14">
        <v>90</v>
      </c>
      <c r="G59" s="7">
        <v>75</v>
      </c>
      <c r="H59" s="7">
        <f t="shared" si="5"/>
        <v>6750</v>
      </c>
      <c r="J59" s="7">
        <v>20</v>
      </c>
    </row>
    <row r="60" spans="1:10" s="7" customFormat="1" ht="24" customHeight="1">
      <c r="A60" s="9" t="s">
        <v>64</v>
      </c>
      <c r="B60" s="15">
        <f>3*188*6</f>
        <v>3384</v>
      </c>
      <c r="C60" s="15"/>
      <c r="D60" s="13">
        <f>1500/6</f>
        <v>250</v>
      </c>
      <c r="E60" s="7">
        <f>250/70</f>
        <v>3.5714285714285716</v>
      </c>
      <c r="F60" s="14">
        <f>E60*216</f>
        <v>771.42857142857144</v>
      </c>
      <c r="G60" s="7">
        <f>F60/200</f>
        <v>3.8571428571428572</v>
      </c>
      <c r="H60" s="7" t="s">
        <v>48</v>
      </c>
      <c r="I60" s="7">
        <f>1.5*200</f>
        <v>300</v>
      </c>
    </row>
    <row r="61" spans="1:10" s="21" customFormat="1" ht="24" customHeight="1" thickBot="1">
      <c r="A61" s="18" t="s">
        <v>62</v>
      </c>
      <c r="B61" s="19"/>
      <c r="C61" s="19">
        <f>B59+B60</f>
        <v>3948</v>
      </c>
      <c r="D61" s="20"/>
      <c r="E61" s="20"/>
      <c r="F61" s="20"/>
    </row>
    <row r="62" spans="1:10" ht="15" thickTop="1"/>
    <row r="63" spans="1:10" s="7" customFormat="1" ht="19.5" customHeight="1">
      <c r="A63" s="9" t="s">
        <v>60</v>
      </c>
      <c r="B63" s="15">
        <f>188*3</f>
        <v>564</v>
      </c>
      <c r="C63" s="15"/>
      <c r="D63" s="13"/>
      <c r="E63" s="7">
        <f>129-70</f>
        <v>59</v>
      </c>
      <c r="F63" s="14">
        <v>90</v>
      </c>
      <c r="G63" s="7">
        <v>75</v>
      </c>
      <c r="H63" s="7">
        <f t="shared" ref="H63" si="6">G63*F63</f>
        <v>6750</v>
      </c>
      <c r="J63" s="7">
        <v>20</v>
      </c>
    </row>
    <row r="64" spans="1:10" s="7" customFormat="1" ht="24" customHeight="1">
      <c r="A64" s="9" t="s">
        <v>61</v>
      </c>
      <c r="B64" s="15">
        <f>3*188*6</f>
        <v>3384</v>
      </c>
      <c r="C64" s="15"/>
      <c r="D64" s="13">
        <f>1500/6</f>
        <v>250</v>
      </c>
      <c r="E64" s="7">
        <f>250/70</f>
        <v>3.5714285714285716</v>
      </c>
      <c r="F64" s="14">
        <f>E64*186</f>
        <v>664.28571428571433</v>
      </c>
      <c r="G64" s="7">
        <f>F64/200</f>
        <v>3.3214285714285716</v>
      </c>
      <c r="H64" s="7" t="s">
        <v>48</v>
      </c>
      <c r="I64" s="7">
        <f>1.5*200</f>
        <v>300</v>
      </c>
    </row>
    <row r="65" spans="1:10" s="21" customFormat="1" ht="24" customHeight="1" thickBot="1">
      <c r="A65" s="18" t="s">
        <v>65</v>
      </c>
      <c r="B65" s="19"/>
      <c r="C65" s="19">
        <f>B63+B64</f>
        <v>3948</v>
      </c>
      <c r="D65" s="20"/>
      <c r="E65" s="20"/>
      <c r="F65" s="20"/>
    </row>
    <row r="66" spans="1:10" ht="15" thickTop="1"/>
    <row r="67" spans="1:10" s="7" customFormat="1" ht="19.5" customHeight="1">
      <c r="A67" s="9" t="s">
        <v>68</v>
      </c>
      <c r="B67" s="15">
        <f>188*3</f>
        <v>564</v>
      </c>
      <c r="C67" s="15"/>
      <c r="D67" s="13"/>
      <c r="E67" s="7">
        <f>129-70</f>
        <v>59</v>
      </c>
      <c r="F67" s="14">
        <v>90</v>
      </c>
      <c r="G67" s="7">
        <v>75</v>
      </c>
      <c r="H67" s="7">
        <f t="shared" ref="H67" si="7">G67*F67</f>
        <v>6750</v>
      </c>
      <c r="J67" s="7">
        <v>20</v>
      </c>
    </row>
    <row r="68" spans="1:10" s="7" customFormat="1" ht="24" customHeight="1">
      <c r="A68" s="9" t="s">
        <v>61</v>
      </c>
      <c r="B68" s="15">
        <f>3*188*6</f>
        <v>3384</v>
      </c>
      <c r="C68" s="15"/>
      <c r="D68" s="13">
        <f>1500/6</f>
        <v>250</v>
      </c>
      <c r="E68" s="7">
        <f>250/70</f>
        <v>3.5714285714285716</v>
      </c>
      <c r="F68" s="14">
        <f>E68*186</f>
        <v>664.28571428571433</v>
      </c>
      <c r="G68" s="7">
        <f>F68/200</f>
        <v>3.3214285714285716</v>
      </c>
      <c r="H68" s="7" t="s">
        <v>48</v>
      </c>
      <c r="I68" s="7">
        <f>1.5*200</f>
        <v>300</v>
      </c>
    </row>
    <row r="69" spans="1:10" s="21" customFormat="1" ht="24" customHeight="1" thickBot="1">
      <c r="A69" s="18" t="s">
        <v>74</v>
      </c>
      <c r="B69" s="19"/>
      <c r="C69" s="19">
        <f>B67+B68</f>
        <v>3948</v>
      </c>
      <c r="D69" s="20"/>
      <c r="E69" s="20"/>
      <c r="F69" s="20"/>
    </row>
    <row r="70" spans="1:10" ht="15" thickTop="1"/>
    <row r="71" spans="1:10" s="7" customFormat="1" ht="19.5" customHeight="1">
      <c r="A71" s="9" t="s">
        <v>70</v>
      </c>
      <c r="B71" s="15">
        <f>188*3</f>
        <v>564</v>
      </c>
      <c r="C71" s="15"/>
      <c r="D71" s="13"/>
      <c r="E71" s="7">
        <f>129-70</f>
        <v>59</v>
      </c>
      <c r="F71" s="14">
        <v>90</v>
      </c>
      <c r="G71" s="7">
        <v>75</v>
      </c>
      <c r="H71" s="7">
        <f t="shared" ref="H71" si="8">G71*F71</f>
        <v>6750</v>
      </c>
      <c r="J71" s="7">
        <v>20</v>
      </c>
    </row>
    <row r="72" spans="1:10" s="7" customFormat="1" ht="24" customHeight="1">
      <c r="A72" s="9" t="s">
        <v>73</v>
      </c>
      <c r="B72" s="15">
        <f>3*188*1</f>
        <v>564</v>
      </c>
      <c r="C72" s="15"/>
      <c r="D72" s="13">
        <f>1500/6</f>
        <v>250</v>
      </c>
      <c r="E72" s="7">
        <f>250/70</f>
        <v>3.5714285714285716</v>
      </c>
      <c r="F72" s="14">
        <f>E72*183</f>
        <v>653.57142857142856</v>
      </c>
      <c r="G72" s="7">
        <f>F72/200</f>
        <v>3.2678571428571428</v>
      </c>
      <c r="H72" s="7" t="s">
        <v>48</v>
      </c>
      <c r="I72" s="7">
        <f>1.5*200</f>
        <v>300</v>
      </c>
    </row>
    <row r="73" spans="1:10" s="21" customFormat="1" ht="24" customHeight="1" thickBot="1">
      <c r="A73" s="18" t="s">
        <v>81</v>
      </c>
      <c r="B73" s="19"/>
      <c r="C73" s="19">
        <f>B71+B72</f>
        <v>1128</v>
      </c>
      <c r="D73" s="20"/>
      <c r="E73" s="20"/>
      <c r="F73" s="20"/>
    </row>
    <row r="74" spans="1:10" ht="15" thickTop="1"/>
    <row r="75" spans="1:10" s="7" customFormat="1" ht="19.5" customHeight="1">
      <c r="A75" s="9" t="s">
        <v>101</v>
      </c>
      <c r="B75" s="15">
        <f>188*2</f>
        <v>376</v>
      </c>
      <c r="C75" s="15"/>
      <c r="D75" s="13"/>
      <c r="E75" s="7">
        <f>129-70</f>
        <v>59</v>
      </c>
      <c r="F75" s="14">
        <v>90</v>
      </c>
      <c r="G75" s="7">
        <v>75</v>
      </c>
      <c r="H75" s="7">
        <f t="shared" ref="H75" si="9">G75*F75</f>
        <v>6750</v>
      </c>
      <c r="J75" s="7">
        <v>20</v>
      </c>
    </row>
    <row r="76" spans="1:10" s="7" customFormat="1" ht="24" customHeight="1">
      <c r="A76" s="9" t="s">
        <v>100</v>
      </c>
      <c r="B76" s="15">
        <v>0</v>
      </c>
      <c r="C76" s="15"/>
      <c r="D76" s="13">
        <f>1500/6</f>
        <v>250</v>
      </c>
      <c r="E76" s="7">
        <f>250/70</f>
        <v>3.5714285714285716</v>
      </c>
      <c r="F76" s="14">
        <f>E76*183</f>
        <v>653.57142857142856</v>
      </c>
      <c r="G76" s="7">
        <f>F76/200</f>
        <v>3.2678571428571428</v>
      </c>
      <c r="H76" s="7" t="s">
        <v>48</v>
      </c>
      <c r="I76" s="7">
        <f>1.5*200</f>
        <v>300</v>
      </c>
    </row>
    <row r="77" spans="1:10" s="21" customFormat="1" ht="24" customHeight="1" thickBot="1">
      <c r="A77" s="18" t="s">
        <v>96</v>
      </c>
      <c r="B77" s="19"/>
      <c r="C77" s="19">
        <f>B75+B76</f>
        <v>376</v>
      </c>
      <c r="D77" s="20"/>
      <c r="E77" s="20"/>
      <c r="F77" s="20"/>
    </row>
    <row r="78" spans="1:10" ht="15" thickTop="1"/>
    <row r="79" spans="1:10" s="21" customFormat="1" ht="24" customHeight="1" thickBot="1">
      <c r="A79" s="18" t="s">
        <v>78</v>
      </c>
      <c r="B79" s="19"/>
      <c r="C79" s="19">
        <f>SUM(C61:C78)</f>
        <v>13348</v>
      </c>
      <c r="D79" s="20"/>
      <c r="E79" s="20"/>
      <c r="F79" s="20"/>
    </row>
    <row r="80" spans="1:10" ht="15" thickTop="1"/>
    <row r="81" spans="1:10" s="62" customFormat="1" ht="7.5" customHeight="1">
      <c r="A81" s="61"/>
      <c r="B81" s="61"/>
      <c r="C81" s="61"/>
    </row>
    <row r="82" spans="1:10" s="40" customFormat="1" ht="36" customHeight="1">
      <c r="A82" s="49" t="s">
        <v>103</v>
      </c>
      <c r="B82" s="38"/>
      <c r="C82" s="38"/>
      <c r="D82" s="39"/>
      <c r="E82" s="40" t="s">
        <v>22</v>
      </c>
      <c r="F82" s="40" t="s">
        <v>76</v>
      </c>
      <c r="G82" s="41">
        <v>200</v>
      </c>
      <c r="H82" s="41" t="e">
        <f t="shared" ref="H82" si="10">G82*F82</f>
        <v>#VALUE!</v>
      </c>
      <c r="I82" s="40" t="e">
        <f>H82/200</f>
        <v>#VALUE!</v>
      </c>
    </row>
    <row r="83" spans="1:10" s="7" customFormat="1" ht="39" customHeight="1">
      <c r="A83" s="9" t="s">
        <v>79</v>
      </c>
      <c r="B83" s="15">
        <f>200*20</f>
        <v>4000</v>
      </c>
      <c r="C83" s="15"/>
      <c r="D83" s="13"/>
      <c r="E83" s="11">
        <f>E55</f>
        <v>1296</v>
      </c>
      <c r="F83" s="14">
        <v>6</v>
      </c>
      <c r="G83" s="7">
        <f>E83*F83</f>
        <v>7776</v>
      </c>
      <c r="H83" s="7">
        <f>G83*8</f>
        <v>62208</v>
      </c>
      <c r="J83" s="7">
        <v>20</v>
      </c>
    </row>
    <row r="84" spans="1:10" s="7" customFormat="1" ht="39" customHeight="1">
      <c r="A84" s="9" t="s">
        <v>80</v>
      </c>
      <c r="B84" s="15">
        <f>200*5</f>
        <v>1000</v>
      </c>
      <c r="C84" s="15"/>
      <c r="D84" s="13"/>
      <c r="E84" s="7">
        <f>2*8*6</f>
        <v>96</v>
      </c>
      <c r="F84" s="14">
        <v>200</v>
      </c>
      <c r="G84" s="7">
        <f>F84*E84</f>
        <v>19200</v>
      </c>
    </row>
    <row r="85" spans="1:10" s="21" customFormat="1" ht="24" customHeight="1" thickBot="1">
      <c r="A85" s="18" t="s">
        <v>82</v>
      </c>
      <c r="B85" s="19"/>
      <c r="C85" s="19">
        <f>SUM(B83:B84)</f>
        <v>5000</v>
      </c>
      <c r="D85" s="20"/>
      <c r="E85" s="20"/>
      <c r="F85" s="20"/>
    </row>
    <row r="86" spans="1:10" ht="15" thickTop="1"/>
    <row r="95" spans="1:10">
      <c r="A95" s="1" t="s">
        <v>21</v>
      </c>
      <c r="B95" s="1">
        <v>3000</v>
      </c>
      <c r="C95" s="1">
        <v>70</v>
      </c>
      <c r="D95" s="2">
        <v>7</v>
      </c>
      <c r="E95" s="2">
        <f>B95*C95</f>
        <v>210000</v>
      </c>
      <c r="F95" s="2">
        <f>E95*7</f>
        <v>1470000</v>
      </c>
    </row>
    <row r="97" spans="1:5">
      <c r="A97" s="1" t="s">
        <v>31</v>
      </c>
    </row>
    <row r="98" spans="1:5">
      <c r="A98" s="1" t="s">
        <v>33</v>
      </c>
      <c r="B98" s="1">
        <f>3500/70</f>
        <v>50</v>
      </c>
    </row>
    <row r="99" spans="1:5" ht="15">
      <c r="B99" s="1" t="s">
        <v>22</v>
      </c>
      <c r="C99" s="1" t="s">
        <v>23</v>
      </c>
      <c r="D99" s="1" t="s">
        <v>32</v>
      </c>
      <c r="E99" s="30" t="s">
        <v>34</v>
      </c>
    </row>
    <row r="100" spans="1:5">
      <c r="A100" s="27" t="s">
        <v>24</v>
      </c>
      <c r="B100" s="1">
        <v>129</v>
      </c>
      <c r="C100" s="1">
        <v>72</v>
      </c>
      <c r="D100" s="2">
        <f t="shared" ref="D100:D106" si="11">B100-70</f>
        <v>59</v>
      </c>
      <c r="E100" s="2">
        <f>D100*50</f>
        <v>2950</v>
      </c>
    </row>
    <row r="101" spans="1:5">
      <c r="A101" s="27" t="s">
        <v>25</v>
      </c>
      <c r="B101" s="1">
        <v>110</v>
      </c>
      <c r="C101" s="1">
        <v>35</v>
      </c>
      <c r="D101" s="2">
        <f t="shared" si="11"/>
        <v>40</v>
      </c>
      <c r="E101" s="2">
        <f t="shared" ref="E101:E106" si="12">D101*50</f>
        <v>2000</v>
      </c>
    </row>
    <row r="102" spans="1:5">
      <c r="A102" s="27" t="s">
        <v>26</v>
      </c>
      <c r="B102" s="1">
        <v>94</v>
      </c>
      <c r="C102" s="1">
        <v>38</v>
      </c>
      <c r="D102" s="2">
        <f t="shared" si="11"/>
        <v>24</v>
      </c>
      <c r="E102" s="2">
        <f t="shared" si="12"/>
        <v>1200</v>
      </c>
    </row>
    <row r="103" spans="1:5">
      <c r="A103" s="27" t="s">
        <v>28</v>
      </c>
      <c r="B103" s="1">
        <v>216</v>
      </c>
      <c r="C103" s="1">
        <v>11</v>
      </c>
      <c r="D103" s="2">
        <f t="shared" si="11"/>
        <v>146</v>
      </c>
      <c r="E103" s="2">
        <f t="shared" si="12"/>
        <v>7300</v>
      </c>
    </row>
    <row r="104" spans="1:5">
      <c r="A104" s="27" t="s">
        <v>27</v>
      </c>
      <c r="B104" s="1">
        <v>186</v>
      </c>
      <c r="C104" s="1">
        <v>73</v>
      </c>
      <c r="D104" s="2">
        <f t="shared" si="11"/>
        <v>116</v>
      </c>
      <c r="E104" s="2">
        <f t="shared" si="12"/>
        <v>5800</v>
      </c>
    </row>
    <row r="105" spans="1:5">
      <c r="A105" s="27" t="s">
        <v>29</v>
      </c>
      <c r="B105" s="1">
        <v>194</v>
      </c>
      <c r="C105" s="1">
        <v>9</v>
      </c>
      <c r="D105" s="2">
        <f t="shared" si="11"/>
        <v>124</v>
      </c>
      <c r="E105" s="2">
        <f t="shared" si="12"/>
        <v>6200</v>
      </c>
    </row>
    <row r="106" spans="1:5">
      <c r="A106" s="27" t="s">
        <v>30</v>
      </c>
      <c r="B106" s="1">
        <v>183</v>
      </c>
      <c r="C106" s="1">
        <v>14</v>
      </c>
      <c r="D106" s="2">
        <f t="shared" si="11"/>
        <v>113</v>
      </c>
      <c r="E106" s="2">
        <f t="shared" si="12"/>
        <v>5650</v>
      </c>
    </row>
    <row r="107" spans="1:5">
      <c r="A107" s="27"/>
    </row>
    <row r="108" spans="1:5">
      <c r="B108" s="28"/>
      <c r="C108" s="28"/>
      <c r="D108" s="29"/>
      <c r="E108" s="29"/>
    </row>
    <row r="110" spans="1:5" ht="15.75" thickBot="1">
      <c r="B110" s="1">
        <f>SUM(B100:B109)</f>
        <v>1112</v>
      </c>
      <c r="D110" s="2">
        <f>SUM(D100:D109)</f>
        <v>622</v>
      </c>
      <c r="E110" s="19">
        <f>SUM(E100:E109)</f>
        <v>31100</v>
      </c>
    </row>
    <row r="111" spans="1:5" ht="15" thickTop="1"/>
    <row r="113" spans="1:5">
      <c r="A113" s="1" t="s">
        <v>35</v>
      </c>
      <c r="B113" s="1">
        <f>250/70</f>
        <v>3.5714285714285716</v>
      </c>
    </row>
    <row r="114" spans="1:5">
      <c r="A114" s="1" t="s">
        <v>36</v>
      </c>
      <c r="B114" s="1">
        <f>3.5*619</f>
        <v>2166.5</v>
      </c>
      <c r="E114" s="1">
        <f t="shared" ref="E114:E119" si="13">3.5*619</f>
        <v>2166.5</v>
      </c>
    </row>
    <row r="115" spans="1:5">
      <c r="A115" s="1" t="s">
        <v>37</v>
      </c>
      <c r="B115" s="1">
        <f t="shared" ref="B115:B119" si="14">3.5*619</f>
        <v>2166.5</v>
      </c>
      <c r="E115" s="1">
        <f t="shared" si="13"/>
        <v>2166.5</v>
      </c>
    </row>
    <row r="116" spans="1:5">
      <c r="A116" s="1" t="s">
        <v>38</v>
      </c>
      <c r="B116" s="1">
        <f t="shared" si="14"/>
        <v>2166.5</v>
      </c>
      <c r="E116" s="1">
        <f t="shared" si="13"/>
        <v>2166.5</v>
      </c>
    </row>
    <row r="117" spans="1:5">
      <c r="A117" s="1" t="s">
        <v>39</v>
      </c>
      <c r="B117" s="1">
        <f t="shared" si="14"/>
        <v>2166.5</v>
      </c>
      <c r="E117" s="1">
        <f t="shared" si="13"/>
        <v>2166.5</v>
      </c>
    </row>
    <row r="118" spans="1:5">
      <c r="A118" s="1" t="s">
        <v>40</v>
      </c>
      <c r="B118" s="1">
        <f t="shared" si="14"/>
        <v>2166.5</v>
      </c>
      <c r="E118" s="1">
        <f t="shared" si="13"/>
        <v>2166.5</v>
      </c>
    </row>
    <row r="119" spans="1:5">
      <c r="A119" s="1" t="s">
        <v>41</v>
      </c>
      <c r="B119" s="1">
        <f t="shared" si="14"/>
        <v>2166.5</v>
      </c>
      <c r="E119" s="1">
        <f t="shared" si="13"/>
        <v>2166.5</v>
      </c>
    </row>
    <row r="121" spans="1:5">
      <c r="E121" s="29"/>
    </row>
    <row r="123" spans="1:5" ht="15.75" thickBot="1">
      <c r="E123" s="19">
        <f>SUM(E114:E122)</f>
        <v>12999</v>
      </c>
    </row>
    <row r="124" spans="1:5" ht="15" thickTop="1"/>
    <row r="125" spans="1:5" ht="15.75" thickBot="1">
      <c r="A125" s="1" t="s">
        <v>42</v>
      </c>
      <c r="E125" s="19">
        <f>E123+E110</f>
        <v>44099</v>
      </c>
    </row>
    <row r="126" spans="1:5" ht="15" thickTop="1"/>
    <row r="129" spans="1:13" s="3" customFormat="1" ht="32.1" customHeight="1">
      <c r="A129" s="63" t="s">
        <v>18</v>
      </c>
      <c r="B129" s="68"/>
      <c r="C129" s="25"/>
      <c r="D129" s="2"/>
      <c r="E129" s="6" t="s">
        <v>0</v>
      </c>
      <c r="F129" s="6" t="s">
        <v>1</v>
      </c>
      <c r="G129" s="6" t="s">
        <v>2</v>
      </c>
      <c r="H129" s="6" t="s">
        <v>4</v>
      </c>
      <c r="I129" s="6" t="s">
        <v>6</v>
      </c>
      <c r="J129" s="6" t="s">
        <v>3</v>
      </c>
      <c r="K129" s="6" t="s">
        <v>5</v>
      </c>
    </row>
    <row r="130" spans="1:13" s="7" customFormat="1" ht="9" customHeight="1">
      <c r="A130" s="17"/>
      <c r="B130" s="15"/>
      <c r="C130" s="22"/>
      <c r="D130" s="23"/>
      <c r="E130" s="23"/>
      <c r="H130" s="11"/>
      <c r="J130" s="7" t="s">
        <v>8</v>
      </c>
      <c r="M130" s="7" t="s">
        <v>9</v>
      </c>
    </row>
    <row r="131" spans="1:13" s="7" customFormat="1" ht="150" hidden="1" customHeight="1">
      <c r="A131" s="66" t="s">
        <v>16</v>
      </c>
      <c r="B131" s="67"/>
      <c r="C131" s="67"/>
      <c r="D131" s="24"/>
      <c r="E131" s="7">
        <f>41+57+34</f>
        <v>132</v>
      </c>
      <c r="F131" s="7" t="s">
        <v>10</v>
      </c>
      <c r="I131" s="7" t="e">
        <f>F131*200</f>
        <v>#VALUE!</v>
      </c>
      <c r="J131" s="7" t="e">
        <f>I131+H131</f>
        <v>#VALUE!</v>
      </c>
      <c r="K131" s="7" t="e">
        <f>J131/200</f>
        <v>#VALUE!</v>
      </c>
    </row>
    <row r="132" spans="1:13" s="7" customFormat="1" ht="134.25" hidden="1" customHeight="1">
      <c r="A132" s="66" t="s">
        <v>19</v>
      </c>
      <c r="B132" s="67"/>
      <c r="C132" s="67"/>
      <c r="D132" s="24"/>
      <c r="E132" s="7">
        <f>41+57+34</f>
        <v>132</v>
      </c>
      <c r="F132" s="7" t="s">
        <v>10</v>
      </c>
      <c r="I132" s="7" t="e">
        <f>F132*200</f>
        <v>#VALUE!</v>
      </c>
      <c r="J132" s="7" t="e">
        <f>I132+H132</f>
        <v>#VALUE!</v>
      </c>
      <c r="K132" s="7" t="e">
        <f>J132/200</f>
        <v>#VALUE!</v>
      </c>
    </row>
    <row r="133" spans="1:13" s="7" customFormat="1" ht="92.25" hidden="1" customHeight="1">
      <c r="A133" s="66" t="s">
        <v>12</v>
      </c>
      <c r="B133" s="67"/>
      <c r="C133" s="67"/>
      <c r="D133" s="24"/>
      <c r="E133" s="7">
        <f>41+57+34</f>
        <v>132</v>
      </c>
      <c r="F133" s="7" t="s">
        <v>10</v>
      </c>
      <c r="I133" s="7" t="e">
        <f>F133*200</f>
        <v>#VALUE!</v>
      </c>
      <c r="J133" s="7" t="e">
        <f>I133+H133</f>
        <v>#VALUE!</v>
      </c>
      <c r="K133" s="7" t="e">
        <f>J133/200</f>
        <v>#VALUE!</v>
      </c>
    </row>
    <row r="134" spans="1:13" s="7" customFormat="1" ht="36" customHeight="1">
      <c r="A134" s="26" t="s">
        <v>13</v>
      </c>
      <c r="B134" s="15"/>
      <c r="C134" s="15"/>
      <c r="D134" s="12"/>
      <c r="F134" s="7">
        <v>10</v>
      </c>
      <c r="G134" s="11">
        <v>200</v>
      </c>
      <c r="H134" s="11">
        <f t="shared" ref="H134:H136" si="15">G134*F134</f>
        <v>2000</v>
      </c>
      <c r="I134" s="7">
        <f>H134/200</f>
        <v>10</v>
      </c>
    </row>
    <row r="135" spans="1:13" s="7" customFormat="1" ht="19.5" customHeight="1">
      <c r="A135" s="9" t="s">
        <v>14</v>
      </c>
      <c r="B135" s="15">
        <f>70*50</f>
        <v>3500</v>
      </c>
      <c r="C135" s="15"/>
      <c r="D135" s="13"/>
      <c r="E135" s="7">
        <f>3500/70</f>
        <v>50</v>
      </c>
      <c r="F135" s="14">
        <v>90</v>
      </c>
      <c r="G135" s="7">
        <v>75</v>
      </c>
      <c r="H135" s="7">
        <f t="shared" si="15"/>
        <v>6750</v>
      </c>
      <c r="J135" s="7">
        <v>20</v>
      </c>
    </row>
    <row r="136" spans="1:13" s="7" customFormat="1" ht="24" customHeight="1">
      <c r="A136" s="9" t="s">
        <v>15</v>
      </c>
      <c r="B136" s="15">
        <f>250*6</f>
        <v>1500</v>
      </c>
      <c r="C136" s="15"/>
      <c r="D136" s="13">
        <f>1500/6</f>
        <v>250</v>
      </c>
      <c r="E136" s="7">
        <f>D136*8</f>
        <v>2000</v>
      </c>
      <c r="F136" s="14"/>
      <c r="G136" s="7">
        <v>75</v>
      </c>
      <c r="H136" s="7">
        <f t="shared" si="15"/>
        <v>0</v>
      </c>
      <c r="J136" s="7">
        <v>20</v>
      </c>
    </row>
    <row r="137" spans="1:13" s="21" customFormat="1" ht="24" customHeight="1" thickBot="1">
      <c r="A137" s="18" t="s">
        <v>17</v>
      </c>
      <c r="B137" s="19"/>
      <c r="C137" s="19">
        <f>B135+B136</f>
        <v>5000</v>
      </c>
      <c r="D137" s="20"/>
      <c r="E137" s="20"/>
      <c r="F137" s="20"/>
    </row>
    <row r="138" spans="1:13" s="7" customFormat="1" ht="15.75" customHeight="1" thickTop="1">
      <c r="A138" s="9"/>
      <c r="B138" s="15"/>
      <c r="C138" s="15"/>
      <c r="D138" s="13"/>
      <c r="F138" s="14"/>
    </row>
    <row r="139" spans="1:13" s="21" customFormat="1" ht="24" customHeight="1" thickBot="1">
      <c r="A139" s="18" t="s">
        <v>20</v>
      </c>
      <c r="B139" s="19"/>
      <c r="C139" s="19">
        <f>C137*8</f>
        <v>40000</v>
      </c>
      <c r="D139" s="20"/>
      <c r="E139" s="20"/>
      <c r="F139" s="20"/>
    </row>
    <row r="140" spans="1:13" ht="15" thickTop="1"/>
    <row r="142" spans="1:13" s="21" customFormat="1" ht="24" customHeight="1" thickBot="1">
      <c r="A142" s="18" t="s">
        <v>43</v>
      </c>
      <c r="B142" s="19"/>
      <c r="C142" s="19">
        <f>C140*8</f>
        <v>0</v>
      </c>
      <c r="D142" s="20"/>
      <c r="E142" s="20"/>
      <c r="F142" s="20"/>
    </row>
    <row r="143" spans="1:13" ht="15" thickTop="1"/>
  </sheetData>
  <mergeCells count="8">
    <mergeCell ref="A4:C4"/>
    <mergeCell ref="A131:C131"/>
    <mergeCell ref="A132:C132"/>
    <mergeCell ref="A133:C133"/>
    <mergeCell ref="A8:C8"/>
    <mergeCell ref="A6:C6"/>
    <mergeCell ref="A7:C7"/>
    <mergeCell ref="A129:B129"/>
  </mergeCells>
  <phoneticPr fontId="12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"/>
  <sheetData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"/>
  <sheetData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Foglio1!Area_stampa</vt:lpstr>
      <vt:lpstr>Foglio1!Print_Area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Patrizia Gariglio</cp:lastModifiedBy>
  <cp:lastPrinted>2024-10-04T08:59:59Z</cp:lastPrinted>
  <dcterms:created xsi:type="dcterms:W3CDTF">2001-04-07T14:32:34Z</dcterms:created>
  <dcterms:modified xsi:type="dcterms:W3CDTF">2024-10-04T09:00:26Z</dcterms:modified>
</cp:coreProperties>
</file>