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ate1904="1"/>
  <mc:AlternateContent xmlns:mc="http://schemas.openxmlformats.org/markup-compatibility/2006">
    <mc:Choice Requires="x15">
      <x15ac:absPath xmlns:x15ac="http://schemas.microsoft.com/office/spreadsheetml/2010/11/ac" url="D:\Condivisa\GEWISS 2\_GEWISS CONTEGGI\"/>
    </mc:Choice>
  </mc:AlternateContent>
  <xr:revisionPtr revIDLastSave="0" documentId="13_ncr:1_{C82E20E9-D498-4B2C-9F50-55C5A9A23667}" xr6:coauthVersionLast="47" xr6:coauthVersionMax="47" xr10:uidLastSave="{00000000-0000-0000-0000-000000000000}"/>
  <bookViews>
    <workbookView xWindow="15525" yWindow="4560" windowWidth="15780" windowHeight="15225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Foglio1!$A$1:$C$41</definedName>
    <definedName name="Print_Area" localSheetId="0">Foglio1!$A$1:$C$16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C40" i="1" s="1"/>
  <c r="C11" i="1"/>
  <c r="J39" i="1"/>
  <c r="G39" i="1"/>
  <c r="J38" i="1"/>
  <c r="K38" i="1" s="1"/>
  <c r="B33" i="1" l="1"/>
  <c r="C34" i="1" s="1"/>
  <c r="B26" i="1"/>
  <c r="B23" i="1"/>
  <c r="B20" i="1"/>
  <c r="B17" i="1"/>
  <c r="I33" i="1"/>
  <c r="B51" i="1"/>
  <c r="H32" i="1"/>
  <c r="B29" i="1" l="1"/>
  <c r="C30" i="1" s="1"/>
  <c r="H10" i="1"/>
  <c r="G29" i="1" l="1"/>
  <c r="G36" i="1" s="1"/>
  <c r="C27" i="1"/>
  <c r="C24" i="1"/>
  <c r="C21" i="1"/>
  <c r="C18" i="1"/>
  <c r="I17" i="1"/>
  <c r="B46" i="1"/>
  <c r="B47" i="1"/>
  <c r="B50" i="1"/>
  <c r="B54" i="1"/>
  <c r="B55" i="1"/>
  <c r="B58" i="1"/>
  <c r="C60" i="1" s="1"/>
  <c r="J11" i="1"/>
  <c r="K11" i="1" s="1"/>
  <c r="K59" i="1"/>
  <c r="G59" i="1"/>
  <c r="H59" i="1" s="1"/>
  <c r="I59" i="1" s="1"/>
  <c r="E59" i="1"/>
  <c r="J58" i="1"/>
  <c r="G58" i="1"/>
  <c r="K33" i="1"/>
  <c r="J32" i="1"/>
  <c r="J65" i="1"/>
  <c r="K65" i="1" s="1"/>
  <c r="J37" i="1"/>
  <c r="K37" i="1" s="1"/>
  <c r="K47" i="1"/>
  <c r="G47" i="1"/>
  <c r="H47" i="1" s="1"/>
  <c r="I47" i="1" s="1"/>
  <c r="E47" i="1"/>
  <c r="J46" i="1"/>
  <c r="G46" i="1"/>
  <c r="J45" i="1"/>
  <c r="K45" i="1" s="1"/>
  <c r="K55" i="1"/>
  <c r="G55" i="1"/>
  <c r="H55" i="1" s="1"/>
  <c r="I55" i="1" s="1"/>
  <c r="E55" i="1"/>
  <c r="J54" i="1"/>
  <c r="G54" i="1"/>
  <c r="J29" i="1"/>
  <c r="K51" i="1"/>
  <c r="G51" i="1"/>
  <c r="H51" i="1" s="1"/>
  <c r="I51" i="1" s="1"/>
  <c r="E51" i="1"/>
  <c r="J50" i="1"/>
  <c r="G50" i="1"/>
  <c r="B94" i="1"/>
  <c r="C122" i="1"/>
  <c r="B115" i="1"/>
  <c r="B116" i="1"/>
  <c r="J116" i="1"/>
  <c r="E116" i="1"/>
  <c r="G116" i="1" s="1"/>
  <c r="J115" i="1"/>
  <c r="G115" i="1"/>
  <c r="J114" i="1"/>
  <c r="K114" i="1" s="1"/>
  <c r="K113" i="1"/>
  <c r="L113" i="1" s="1"/>
  <c r="M113" i="1" s="1"/>
  <c r="G113" i="1"/>
  <c r="K112" i="1"/>
  <c r="L112" i="1" s="1"/>
  <c r="M112" i="1" s="1"/>
  <c r="G112" i="1"/>
  <c r="K111" i="1"/>
  <c r="L111" i="1" s="1"/>
  <c r="M111" i="1" s="1"/>
  <c r="G111" i="1"/>
  <c r="E80" i="1"/>
  <c r="G80" i="1" s="1"/>
  <c r="G94" i="1"/>
  <c r="G95" i="1"/>
  <c r="G96" i="1"/>
  <c r="G97" i="1"/>
  <c r="G98" i="1"/>
  <c r="G99" i="1"/>
  <c r="E81" i="1"/>
  <c r="E82" i="1"/>
  <c r="G82" i="1" s="1"/>
  <c r="E83" i="1"/>
  <c r="G83" i="1" s="1"/>
  <c r="E84" i="1"/>
  <c r="G84" i="1" s="1"/>
  <c r="E85" i="1"/>
  <c r="G85" i="1" s="1"/>
  <c r="E86" i="1"/>
  <c r="G86" i="1" s="1"/>
  <c r="B99" i="1"/>
  <c r="B98" i="1"/>
  <c r="B97" i="1"/>
  <c r="B96" i="1"/>
  <c r="B95" i="1"/>
  <c r="B93" i="1"/>
  <c r="B78" i="1"/>
  <c r="B90" i="1"/>
  <c r="G75" i="1"/>
  <c r="H75" i="1" s="1"/>
  <c r="K7" i="1"/>
  <c r="L7" i="1" s="1"/>
  <c r="M7" i="1" s="1"/>
  <c r="G7" i="1"/>
  <c r="K6" i="1"/>
  <c r="L6" i="1" s="1"/>
  <c r="M6" i="1" s="1"/>
  <c r="G6" i="1"/>
  <c r="G8" i="1"/>
  <c r="K8" i="1"/>
  <c r="L8" i="1" s="1"/>
  <c r="M8" i="1" s="1"/>
  <c r="H2" i="1"/>
  <c r="G2" i="1"/>
  <c r="C36" i="1" l="1"/>
  <c r="C10" i="1"/>
  <c r="C56" i="1"/>
  <c r="C117" i="1"/>
  <c r="C119" i="1" s="1"/>
  <c r="G103" i="1"/>
  <c r="C52" i="1"/>
  <c r="C48" i="1"/>
  <c r="E90" i="1"/>
  <c r="G81" i="1"/>
  <c r="G90" i="1" s="1"/>
  <c r="G105" i="1" s="1"/>
  <c r="C62" i="1" l="1"/>
  <c r="C12" i="1"/>
</calcChain>
</file>

<file path=xl/sharedStrings.xml><?xml version="1.0" encoding="utf-8"?>
<sst xmlns="http://schemas.openxmlformats.org/spreadsheetml/2006/main" count="110" uniqueCount="89">
  <si>
    <t>videate</t>
  </si>
  <si>
    <t>pop up</t>
  </si>
  <si>
    <t>test</t>
  </si>
  <si>
    <t>tot testi</t>
  </si>
  <si>
    <t>Testi parole</t>
  </si>
  <si>
    <t>Tot testi cartelle</t>
  </si>
  <si>
    <t>testi Pop up e test</t>
  </si>
  <si>
    <t>KOINE' snc</t>
  </si>
  <si>
    <t>cartelle</t>
  </si>
  <si>
    <t>5 lingue</t>
  </si>
  <si>
    <t xml:space="preserve"> +enel x 62</t>
  </si>
  <si>
    <t xml:space="preserve">servizi di traduzione  - editoria elettronica - multimedia 
Via Fornasio, 5 - 10092 BEINASCO (TO)  
Tel. 011 3971099  • Fax 011 3972261 
P. IVA 05758560014
E-mail: koine@koine.it
</t>
  </si>
  <si>
    <r>
      <rPr>
        <b/>
        <sz val="11"/>
        <rFont val="Arial"/>
        <family val="2"/>
      </rPr>
      <t>MATERIALE DA RICEVERE:</t>
    </r>
    <r>
      <rPr>
        <sz val="11"/>
        <rFont val="Arial"/>
        <family val="2"/>
      </rPr>
      <t xml:space="preserve">
 - storyboard approvato del corso con contenuti delle pagine + testo voiceover in pagina note
 - file audio per voiceover
 - eventuali immagini e video di vs. proprietà
 - traduzioni dei file word esportati nelle varie lingue</t>
    </r>
  </si>
  <si>
    <t>Costi unitari per ogni corso</t>
  </si>
  <si>
    <r>
      <t xml:space="preserve">Sviluppo delle pagine </t>
    </r>
    <r>
      <rPr>
        <b/>
        <sz val="11"/>
        <rFont val="Arial"/>
        <family val="2"/>
      </rPr>
      <t xml:space="preserve"> (70 PAGINE X EURO 50,00)</t>
    </r>
  </si>
  <si>
    <r>
      <t>Localizzazione in 6 lingue</t>
    </r>
    <r>
      <rPr>
        <b/>
        <sz val="11"/>
        <rFont val="Arial"/>
        <family val="2"/>
      </rPr>
      <t xml:space="preserve"> (Euro 250,00 X 6 lingue)</t>
    </r>
  </si>
  <si>
    <r>
      <rPr>
        <b/>
        <sz val="11"/>
        <rFont val="Arial"/>
        <family val="2"/>
      </rPr>
      <t>SPECIFICHE
Sviluppo di corsi online. Master Italiano e localizzazione nelle lingue Inglese - Francese - Spagnolo - Tedesco - Turco -  Rumeno</t>
    </r>
    <r>
      <rPr>
        <sz val="11"/>
        <rFont val="Arial"/>
        <family val="2"/>
      </rPr>
      <t xml:space="preserve">
 - Analisi storyboard e adattamento nel template
 - Sviluppo layout del WBT (realizzazione videate e montaggio nella struttura)
 - Esercitazioni e test finale 
 - Sviluppo di immagini ad hoc se non fornite dal Committente
 - Test di 10 domande (soglia di superamento da definire con tentativi illimitati e tracciamento)
</t>
    </r>
    <r>
      <rPr>
        <b/>
        <sz val="11"/>
        <rFont val="Arial"/>
        <family val="2"/>
      </rPr>
      <t>Formato di interoperabilità con la piattaforma</t>
    </r>
    <r>
      <rPr>
        <sz val="11"/>
        <rFont val="Arial"/>
        <family val="2"/>
      </rPr>
      <t xml:space="preserve">
 SCORM 1.2 o SCORM 2004 </t>
    </r>
  </si>
  <si>
    <t>TOTALE 1 CORSO in 7 LINGUE</t>
  </si>
  <si>
    <t>Preventivo progettazione e realizzazione corsi online - GEWISS - Mario Lange</t>
  </si>
  <si>
    <r>
      <rPr>
        <b/>
        <sz val="11"/>
        <rFont val="Arial"/>
        <family val="2"/>
      </rPr>
      <t xml:space="preserve">Ogni corso sarà composto da: </t>
    </r>
    <r>
      <rPr>
        <sz val="11"/>
        <rFont val="Arial"/>
        <family val="2"/>
      </rPr>
      <t xml:space="preserve">
 - 70/80 videate  con animazioni,  esercitazioni intermedie, interazioni, inclusa ricerca/inserimento di foto,  icone ove richiesto
 - sviluppo sulla base di storyboard (powerpoint) ricevuto
 - inserimento di file audio voiceover (audio) da voi ricevuti
 - 2 aree test di verifica per controllo di ogni corso sviluppato
 - consegna di pacchetti SCORM per caricamento su vs. piattaforma
 - esportazione testi in formato Word per traduzioni
 - eventuali ulteriori variazioni oltre 2 sessioni saranno conteggiate separatamente</t>
    </r>
  </si>
  <si>
    <t>PREVENTIVO SVILUPPO 8 CORSI IN 7 LINGUE</t>
  </si>
  <si>
    <t>AUDIO</t>
  </si>
  <si>
    <t>pagine</t>
  </si>
  <si>
    <t>audio</t>
  </si>
  <si>
    <t>CORSO 1 ELETTROTECNICA</t>
  </si>
  <si>
    <t>CORSO 2 ILLUMINOTECNICA mod 1</t>
  </si>
  <si>
    <t>CORSO 2 ILLUMINOTECNICA mod 2</t>
  </si>
  <si>
    <t>CORSO 4 BUILDING</t>
  </si>
  <si>
    <t>CORSO 3 INSTALLATION</t>
  </si>
  <si>
    <t>CORSO 5 LIGHTING</t>
  </si>
  <si>
    <t>CORSO 6 MOBILITY</t>
  </si>
  <si>
    <t>preventivato 70 X 7 lingue</t>
  </si>
  <si>
    <t>differenza</t>
  </si>
  <si>
    <t>costo  ita a pagina</t>
  </si>
  <si>
    <t>costo ITA pagine in più</t>
  </si>
  <si>
    <t>costo  EN a pagina</t>
  </si>
  <si>
    <t>costo  EN PAGINE AGGIUNTIVE</t>
  </si>
  <si>
    <t>costo  FR PAGINE AGGIUNTIVE</t>
  </si>
  <si>
    <t>costo  ES PAGINE AGGIUNTIVE</t>
  </si>
  <si>
    <t>costo DE PAGINE AGGIUNTIVE</t>
  </si>
  <si>
    <t>costo  RO PAGINE AGGIUNTIVE</t>
  </si>
  <si>
    <t>costo  TU PAGINE AGGIUNTIVE</t>
  </si>
  <si>
    <t>TOTALE AGGIUNTIVO</t>
  </si>
  <si>
    <t>CONSUNTIVO AL 2-5-2024</t>
  </si>
  <si>
    <t>1,5 GIORNATE *200</t>
  </si>
  <si>
    <r>
      <t>Localizzazione in 6 lingue NH</t>
    </r>
    <r>
      <rPr>
        <b/>
        <sz val="11"/>
        <rFont val="Arial"/>
        <family val="2"/>
      </rPr>
      <t xml:space="preserve"> (3 GIORNATE X EURO 188,00 X 6 lingue)</t>
    </r>
  </si>
  <si>
    <t>TOTALE CORSO 3 INSTALLATION NH in 7 LINGUE</t>
  </si>
  <si>
    <r>
      <t xml:space="preserve">CORSO 3 INSTALLATION NH </t>
    </r>
    <r>
      <rPr>
        <b/>
        <sz val="11"/>
        <rFont val="Arial"/>
        <family val="2"/>
      </rPr>
      <t>(3 GIORNATE X EURO 188,00)</t>
    </r>
  </si>
  <si>
    <r>
      <t>Localizzazione in 6 lingue</t>
    </r>
    <r>
      <rPr>
        <b/>
        <sz val="11"/>
        <rFont val="Arial"/>
        <family val="2"/>
      </rPr>
      <t xml:space="preserve"> (3 GIORNATE X EURO 188,00 X 6 lingue)</t>
    </r>
  </si>
  <si>
    <t>TOTALE CORSO 4 BUILDING NH  in 7 LINGUE</t>
  </si>
  <si>
    <r>
      <t xml:space="preserve">CORSO 6 MOBILITY NH </t>
    </r>
    <r>
      <rPr>
        <b/>
        <sz val="11"/>
        <rFont val="Arial"/>
        <family val="2"/>
      </rPr>
      <t>(3 GIORNATE X EURO 188,00)</t>
    </r>
  </si>
  <si>
    <r>
      <t>Localizzazione in 6 lingue</t>
    </r>
    <r>
      <rPr>
        <b/>
        <sz val="11"/>
        <rFont val="Arial"/>
        <family val="2"/>
      </rPr>
      <t xml:space="preserve"> (70 pagine ognuno Euro 250,00 X 6 lingue)</t>
    </r>
  </si>
  <si>
    <r>
      <t xml:space="preserve">Localizzazione in  lingua en </t>
    </r>
    <r>
      <rPr>
        <b/>
        <sz val="11"/>
        <rFont val="Arial"/>
        <family val="2"/>
      </rPr>
      <t xml:space="preserve"> (3 GIORNATE X EURO 188,00 X 1 lingua)</t>
    </r>
  </si>
  <si>
    <t>lingue</t>
  </si>
  <si>
    <t>CONSUNTIVO SVILUPPO 4 CORSI NH IN 7 LINGUE</t>
  </si>
  <si>
    <t>TOTALE CORSO 6 MOBILITY NH in 2 LINGUE</t>
  </si>
  <si>
    <t>dettaglio</t>
  </si>
  <si>
    <t xml:space="preserve">TOTALE </t>
  </si>
  <si>
    <t>A PAGINA XLF</t>
  </si>
  <si>
    <t>PP</t>
  </si>
  <si>
    <t>ì</t>
  </si>
  <si>
    <t>Beinasco 04.09.2024</t>
  </si>
  <si>
    <t>TOTALE CORSO 7 ENERGY NH in 1 LINGUA</t>
  </si>
  <si>
    <r>
      <t xml:space="preserve">CORSO 7 ENERGY NH </t>
    </r>
    <r>
      <rPr>
        <b/>
        <sz val="11"/>
        <rFont val="Arial"/>
        <family val="2"/>
      </rPr>
      <t xml:space="preserve"> (3 GIORNATE X EURO 188,00) </t>
    </r>
  </si>
  <si>
    <t>Localizzazione  da ricevere</t>
  </si>
  <si>
    <t xml:space="preserve">CONSUNTIVO VARIAZIONI CORSI COMPLETI </t>
  </si>
  <si>
    <t xml:space="preserve">TOTALE CORSO 2 ILLUMINOTECNICA Mod 1  </t>
  </si>
  <si>
    <t xml:space="preserve">TOTALE CORSO 2 ILLUMINOTECNICA Mod 2 </t>
  </si>
  <si>
    <t>TOTALE CORSO 3 INSTALLATION</t>
  </si>
  <si>
    <t xml:space="preserve">TOTALE CORSO 4 BUILDING  </t>
  </si>
  <si>
    <r>
      <t xml:space="preserve">CORSO 5 LIGHTING rifacimento ENG  </t>
    </r>
    <r>
      <rPr>
        <b/>
        <sz val="11"/>
        <rFont val="Arial"/>
        <family val="2"/>
      </rPr>
      <t>(96 nuove pagine PAGINE X EURO 50,00)</t>
    </r>
  </si>
  <si>
    <t>TOTALE CORSO 5 LIGHTING</t>
  </si>
  <si>
    <t xml:space="preserve">TOTALE CORSO 7 ENERGY  </t>
  </si>
  <si>
    <t>CONSUNTIVO VARIAZIONI CORSI COMPLETI</t>
  </si>
  <si>
    <r>
      <t xml:space="preserve">CORSO 4 BUILDING NH </t>
    </r>
    <r>
      <rPr>
        <b/>
        <sz val="11"/>
        <rFont val="Arial"/>
        <family val="2"/>
      </rPr>
      <t>(3 GIORNATE X EURO 188,00)</t>
    </r>
  </si>
  <si>
    <t>Consuntivo VARIAZIONI corsi ESTERI online - GEWISS - Mario Lange al 04/09/2024</t>
  </si>
  <si>
    <t xml:space="preserve">CONSUNTIVO VARIAZIONI / PRODUZIONE CORSI COMPLETI in UK-FR-SPA-CHILE </t>
  </si>
  <si>
    <r>
      <t xml:space="preserve">CORSO 2 ILLUMINOTECNICA VARIAZIONI UK-FR-SPA-CHILE 
</t>
    </r>
    <r>
      <rPr>
        <b/>
        <sz val="11"/>
        <rFont val="Arial"/>
        <family val="2"/>
      </rPr>
      <t>(4 GIORNATE X EURO 188,00)</t>
    </r>
  </si>
  <si>
    <r>
      <t xml:space="preserve">CORSO 2 ILLUMINOTECNICA mod 2 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VARIAZIONI UK-FR-SPA-CHILE </t>
    </r>
    <r>
      <rPr>
        <b/>
        <sz val="11"/>
        <rFont val="Arial"/>
        <family val="2"/>
      </rPr>
      <t xml:space="preserve">
(4 GIORNATE X EURO 188,00)</t>
    </r>
  </si>
  <si>
    <r>
      <t xml:space="preserve">CORSO 3 INSTALLATION  VARIAZIONI UK-FR-SPA-CHILE 
</t>
    </r>
    <r>
      <rPr>
        <b/>
        <sz val="11"/>
        <rFont val="Arial"/>
        <family val="2"/>
      </rPr>
      <t>(4 GIORNATE X EURO 188,00)</t>
    </r>
  </si>
  <si>
    <r>
      <t xml:space="preserve">CORSO 4 BUILDING VARIAZIONI UK-FR-SPA-CHILE
</t>
    </r>
    <r>
      <rPr>
        <b/>
        <sz val="11"/>
        <rFont val="Arial"/>
        <family val="2"/>
      </rPr>
      <t>(4 GIORNATE X EURO 188,00)</t>
    </r>
  </si>
  <si>
    <r>
      <t xml:space="preserve">CORSO 7 ENERGY </t>
    </r>
    <r>
      <rPr>
        <b/>
        <sz val="11"/>
        <rFont val="Arial"/>
        <family val="2"/>
      </rPr>
      <t>(185 PAGINE)</t>
    </r>
    <r>
      <rPr>
        <sz val="11"/>
        <rFont val="Arial"/>
        <family val="2"/>
      </rPr>
      <t xml:space="preserve">  </t>
    </r>
  </si>
  <si>
    <t>Localizzazione in 7 lingue UK e FR- ES- CHILE (6 GIORNATE X EURO 188,00)</t>
  </si>
  <si>
    <t xml:space="preserve">CONSUNTIVO CORSI NH RIDOTTI </t>
  </si>
  <si>
    <t>CONSUNTIVO CORSI NH RIDOTTI no</t>
  </si>
  <si>
    <t>CONTEGGIO PRODUZIONE POWERPOINT DI TUTTI I CORSI no</t>
  </si>
  <si>
    <t>CONSUNTIVO VARIAZIONI CORSI NH RIDOTTI in UK-FR-SPA-CHILE  (6 GIORNATE X EURO 188,00)</t>
  </si>
  <si>
    <t>CONSUNTIVO VARIAZIONI CORSI NH</t>
  </si>
  <si>
    <t xml:space="preserve">VARIAZIONI CORSI NH RIDOTTI in UK-FR-SPA-CHILE (6 GIORNATE X EURO 188,00)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</si>
</sst>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9"/>
      <name val="Geneva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i/>
      <sz val="12"/>
      <color indexed="10"/>
      <name val="Arial"/>
      <family val="2"/>
    </font>
    <font>
      <b/>
      <i/>
      <sz val="11"/>
      <color indexed="10"/>
      <name val="Arial"/>
      <family val="2"/>
    </font>
    <font>
      <sz val="11"/>
      <color indexed="17"/>
      <name val="Arial"/>
      <family val="2"/>
    </font>
    <font>
      <b/>
      <sz val="12"/>
      <color indexed="10"/>
      <name val="Arial"/>
      <family val="2"/>
    </font>
    <font>
      <sz val="8"/>
      <name val="Geneva"/>
      <family val="2"/>
    </font>
    <font>
      <b/>
      <i/>
      <sz val="11"/>
      <name val="Arial"/>
      <family val="2"/>
    </font>
    <font>
      <b/>
      <sz val="14"/>
      <name val="Arial"/>
      <family val="2"/>
    </font>
    <font>
      <sz val="14"/>
      <name val="Geneva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2" borderId="0" xfId="0" applyFont="1" applyFill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2" fontId="1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2" fontId="9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2" fontId="1" fillId="0" borderId="0" xfId="0" applyNumberFormat="1" applyFont="1"/>
    <xf numFmtId="0" fontId="11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" fontId="8" fillId="3" borderId="1" xfId="0" applyNumberFormat="1" applyFont="1" applyFill="1" applyBorder="1"/>
    <xf numFmtId="2" fontId="1" fillId="3" borderId="0" xfId="0" applyNumberFormat="1" applyFont="1" applyFill="1"/>
    <xf numFmtId="0" fontId="7" fillId="3" borderId="0" xfId="0" applyFont="1" applyFill="1"/>
    <xf numFmtId="4" fontId="13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2" fillId="0" borderId="0" xfId="0" applyFont="1" applyAlignment="1">
      <alignment horizontal="right"/>
    </xf>
    <xf numFmtId="0" fontId="1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4" fontId="16" fillId="0" borderId="0" xfId="0" applyNumberFormat="1" applyFont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2" fontId="17" fillId="0" borderId="0" xfId="0" applyNumberFormat="1" applyFont="1" applyAlignment="1">
      <alignment vertical="center"/>
    </xf>
    <xf numFmtId="0" fontId="16" fillId="4" borderId="0" xfId="0" applyFont="1" applyFill="1" applyAlignment="1">
      <alignment horizontal="left" vertical="center" wrapText="1"/>
    </xf>
    <xf numFmtId="4" fontId="16" fillId="4" borderId="0" xfId="0" applyNumberFormat="1" applyFont="1" applyFill="1" applyAlignment="1">
      <alignment horizontal="right" vertical="center"/>
    </xf>
    <xf numFmtId="2" fontId="16" fillId="4" borderId="0" xfId="0" applyNumberFormat="1" applyFont="1" applyFill="1" applyAlignment="1">
      <alignment horizontal="right" vertical="center"/>
    </xf>
    <xf numFmtId="0" fontId="17" fillId="4" borderId="0" xfId="0" applyFont="1" applyFill="1" applyAlignment="1">
      <alignment vertical="center"/>
    </xf>
    <xf numFmtId="2" fontId="17" fillId="4" borderId="0" xfId="0" applyNumberFormat="1" applyFont="1" applyFill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2" fontId="1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2" fontId="17" fillId="0" borderId="0" xfId="0" applyNumberFormat="1" applyFont="1" applyAlignment="1">
      <alignment vertical="center" wrapText="1"/>
    </xf>
    <xf numFmtId="4" fontId="19" fillId="0" borderId="0" xfId="0" applyNumberFormat="1" applyFont="1" applyAlignment="1">
      <alignment horizontal="right" vertical="center"/>
    </xf>
    <xf numFmtId="0" fontId="1" fillId="4" borderId="0" xfId="0" applyFont="1" applyFill="1" applyAlignment="1">
      <alignment horizontal="right"/>
    </xf>
    <xf numFmtId="0" fontId="1" fillId="4" borderId="0" xfId="0" applyFont="1" applyFill="1"/>
    <xf numFmtId="0" fontId="0" fillId="0" borderId="0" xfId="0" applyAlignment="1">
      <alignment vertical="center"/>
    </xf>
    <xf numFmtId="0" fontId="14" fillId="2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5" fillId="0" borderId="2" xfId="0" applyFont="1" applyBorder="1"/>
    <xf numFmtId="0" fontId="0" fillId="0" borderId="0" xfId="0" applyBorder="1" applyAlignment="1">
      <alignment wrapText="1"/>
    </xf>
    <xf numFmtId="4" fontId="8" fillId="3" borderId="0" xfId="0" applyNumberFormat="1" applyFont="1" applyFill="1" applyBorder="1"/>
    <xf numFmtId="0" fontId="2" fillId="2" borderId="0" xfId="0" applyFont="1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ipFPX applÄRstrnπ{gripFPixthnr">
    <pageSetUpPr fitToPage="1"/>
  </sheetPr>
  <dimension ref="A1:O123"/>
  <sheetViews>
    <sheetView tabSelected="1" zoomScale="72" zoomScaleNormal="72" workbookViewId="0">
      <selection activeCell="D15" sqref="D15"/>
    </sheetView>
  </sheetViews>
  <sheetFormatPr defaultColWidth="10.85546875" defaultRowHeight="14.25"/>
  <cols>
    <col min="1" max="1" width="110" style="1" customWidth="1"/>
    <col min="2" max="2" width="15.42578125" style="1" customWidth="1"/>
    <col min="3" max="3" width="19.7109375" style="1" customWidth="1"/>
    <col min="4" max="4" width="31.28515625" style="1" customWidth="1"/>
    <col min="5" max="5" width="16" style="2" customWidth="1"/>
    <col min="6" max="6" width="43.5703125" style="2" customWidth="1"/>
    <col min="7" max="7" width="31.5703125" style="2" customWidth="1"/>
    <col min="8" max="8" width="22.28515625" style="2" customWidth="1"/>
    <col min="9" max="9" width="10.140625" style="2" customWidth="1"/>
    <col min="10" max="10" width="12.42578125" style="2" customWidth="1"/>
    <col min="11" max="16384" width="10.85546875" style="2"/>
  </cols>
  <sheetData>
    <row r="1" spans="1:15" ht="38.1" customHeight="1">
      <c r="A1" s="8" t="s">
        <v>7</v>
      </c>
      <c r="B1" s="10"/>
      <c r="C1" s="10"/>
      <c r="D1" s="10"/>
      <c r="E1" s="10"/>
      <c r="F1" s="10"/>
    </row>
    <row r="2" spans="1:15" ht="94.5" customHeight="1">
      <c r="A2" s="9" t="s">
        <v>11</v>
      </c>
      <c r="B2" s="4"/>
      <c r="C2" s="5" t="s">
        <v>61</v>
      </c>
      <c r="D2" s="5"/>
      <c r="E2" s="5"/>
      <c r="F2" s="5"/>
      <c r="G2" s="2">
        <f>63*20%</f>
        <v>12.600000000000001</v>
      </c>
      <c r="H2" s="16" t="e">
        <f>#REF!+13</f>
        <v>#REF!</v>
      </c>
    </row>
    <row r="3" spans="1:15" ht="12" customHeight="1">
      <c r="A3" s="9"/>
      <c r="B3" s="4"/>
      <c r="C3" s="4"/>
      <c r="D3" s="4"/>
      <c r="E3" s="5"/>
      <c r="F3" s="5"/>
    </row>
    <row r="4" spans="1:15" s="3" customFormat="1" ht="32.1" customHeight="1">
      <c r="A4" s="57" t="s">
        <v>75</v>
      </c>
      <c r="B4" s="58"/>
      <c r="C4" s="59"/>
      <c r="D4" s="63"/>
      <c r="E4" s="2"/>
      <c r="F4" s="2"/>
      <c r="G4" s="6" t="s">
        <v>0</v>
      </c>
      <c r="H4" s="6" t="s">
        <v>58</v>
      </c>
      <c r="I4" s="6" t="s">
        <v>2</v>
      </c>
      <c r="J4" s="6" t="s">
        <v>4</v>
      </c>
      <c r="K4" s="6" t="s">
        <v>6</v>
      </c>
      <c r="L4" s="6" t="s">
        <v>3</v>
      </c>
      <c r="M4" s="6" t="s">
        <v>5</v>
      </c>
    </row>
    <row r="5" spans="1:15" s="7" customFormat="1" ht="9" customHeight="1">
      <c r="A5" s="17"/>
      <c r="B5" s="15"/>
      <c r="C5" s="22"/>
      <c r="D5" s="22"/>
      <c r="E5" s="23"/>
      <c r="F5" s="23"/>
      <c r="G5" s="23"/>
      <c r="J5" s="11"/>
      <c r="L5" s="7" t="s">
        <v>8</v>
      </c>
      <c r="O5" s="7" t="s">
        <v>9</v>
      </c>
    </row>
    <row r="6" spans="1:15" s="7" customFormat="1" ht="150" hidden="1" customHeight="1">
      <c r="A6" s="60" t="s">
        <v>16</v>
      </c>
      <c r="B6" s="61"/>
      <c r="C6" s="61"/>
      <c r="D6" s="56"/>
      <c r="E6" s="24"/>
      <c r="F6" s="24"/>
      <c r="G6" s="7">
        <f>41+57+34</f>
        <v>132</v>
      </c>
      <c r="H6" s="7" t="s">
        <v>10</v>
      </c>
      <c r="K6" s="7" t="e">
        <f>H6*200</f>
        <v>#VALUE!</v>
      </c>
      <c r="L6" s="7" t="e">
        <f>K6+J6</f>
        <v>#VALUE!</v>
      </c>
      <c r="M6" s="7" t="e">
        <f>L6/200</f>
        <v>#VALUE!</v>
      </c>
    </row>
    <row r="7" spans="1:15" s="7" customFormat="1" ht="134.25" hidden="1" customHeight="1">
      <c r="A7" s="60" t="s">
        <v>19</v>
      </c>
      <c r="B7" s="61"/>
      <c r="C7" s="61"/>
      <c r="D7" s="56"/>
      <c r="E7" s="24"/>
      <c r="F7" s="24"/>
      <c r="G7" s="7">
        <f>41+57+34</f>
        <v>132</v>
      </c>
      <c r="H7" s="7" t="s">
        <v>10</v>
      </c>
      <c r="K7" s="7" t="e">
        <f>H7*200</f>
        <v>#VALUE!</v>
      </c>
      <c r="L7" s="7" t="e">
        <f>K7+J7</f>
        <v>#VALUE!</v>
      </c>
      <c r="M7" s="7" t="e">
        <f>L7/200</f>
        <v>#VALUE!</v>
      </c>
    </row>
    <row r="8" spans="1:15" s="7" customFormat="1" ht="92.25" hidden="1" customHeight="1">
      <c r="A8" s="60" t="s">
        <v>12</v>
      </c>
      <c r="B8" s="61"/>
      <c r="C8" s="61"/>
      <c r="D8" s="56"/>
      <c r="E8" s="24"/>
      <c r="F8" s="24"/>
      <c r="G8" s="7">
        <f>41+57+34</f>
        <v>132</v>
      </c>
      <c r="H8" s="7" t="s">
        <v>10</v>
      </c>
      <c r="K8" s="7" t="e">
        <f>H8*200</f>
        <v>#VALUE!</v>
      </c>
      <c r="L8" s="7" t="e">
        <f>K8+J8</f>
        <v>#VALUE!</v>
      </c>
      <c r="M8" s="7" t="e">
        <f>L8/200</f>
        <v>#VALUE!</v>
      </c>
    </row>
    <row r="9" spans="1:15" s="7" customFormat="1" ht="9" customHeight="1">
      <c r="A9" s="42"/>
      <c r="B9" s="15"/>
      <c r="C9" s="53"/>
      <c r="D9" s="53"/>
      <c r="E9" s="12"/>
      <c r="F9" s="12"/>
      <c r="I9" s="11"/>
      <c r="J9" s="11"/>
    </row>
    <row r="10" spans="1:15" s="47" customFormat="1" ht="36" customHeight="1">
      <c r="A10" s="43" t="s">
        <v>76</v>
      </c>
      <c r="B10" s="44"/>
      <c r="C10" s="45">
        <f>C36</f>
        <v>8936</v>
      </c>
      <c r="D10" s="45"/>
      <c r="E10" s="46"/>
      <c r="F10" s="46"/>
      <c r="G10" s="31" t="s">
        <v>51</v>
      </c>
      <c r="H10" s="15">
        <f>250*6</f>
        <v>1500</v>
      </c>
      <c r="I10" s="48"/>
      <c r="J10" s="48"/>
    </row>
    <row r="11" spans="1:15" s="51" customFormat="1" ht="36" customHeight="1">
      <c r="A11" s="43" t="s">
        <v>86</v>
      </c>
      <c r="B11" s="49"/>
      <c r="C11" s="45">
        <f>188*6</f>
        <v>1128</v>
      </c>
      <c r="D11" s="45"/>
      <c r="E11" s="50"/>
      <c r="F11" s="50"/>
      <c r="H11" s="51">
        <v>10</v>
      </c>
      <c r="I11" s="52">
        <v>200</v>
      </c>
      <c r="J11" s="52">
        <f t="shared" ref="J11" si="0">I11*H11</f>
        <v>2000</v>
      </c>
      <c r="K11" s="51">
        <f>J11/200</f>
        <v>10</v>
      </c>
    </row>
    <row r="12" spans="1:15" s="21" customFormat="1" ht="24" customHeight="1" thickBot="1">
      <c r="A12" s="18" t="s">
        <v>57</v>
      </c>
      <c r="B12" s="19"/>
      <c r="C12" s="19">
        <f>SUM(C10:C11)</f>
        <v>10064</v>
      </c>
      <c r="D12" s="64"/>
      <c r="E12" s="20"/>
      <c r="F12" s="20"/>
      <c r="G12" s="20"/>
      <c r="H12" s="20"/>
    </row>
    <row r="13" spans="1:15" s="51" customFormat="1" ht="36" customHeight="1" thickTop="1">
      <c r="A13" s="43"/>
      <c r="B13" s="49"/>
      <c r="C13" s="49"/>
      <c r="D13" s="49"/>
      <c r="E13" s="50"/>
      <c r="F13" s="50"/>
      <c r="I13" s="52"/>
      <c r="J13" s="52"/>
    </row>
    <row r="14" spans="1:15" s="35" customFormat="1" ht="36" customHeight="1">
      <c r="A14" s="42" t="s">
        <v>56</v>
      </c>
      <c r="B14" s="33"/>
      <c r="C14" s="33"/>
      <c r="D14" s="33"/>
      <c r="E14" s="34"/>
      <c r="F14" s="34"/>
      <c r="I14" s="36"/>
      <c r="J14" s="36"/>
    </row>
    <row r="15" spans="1:15" s="35" customFormat="1" ht="36" customHeight="1">
      <c r="A15" s="42" t="s">
        <v>65</v>
      </c>
      <c r="B15" s="33"/>
      <c r="C15" s="33"/>
      <c r="D15" s="33"/>
      <c r="E15" s="34"/>
      <c r="F15" s="34"/>
      <c r="G15" s="35" t="s">
        <v>59</v>
      </c>
      <c r="I15" s="36"/>
      <c r="J15" s="36"/>
    </row>
    <row r="16" spans="1:15" s="7" customFormat="1" ht="10.15" customHeight="1">
      <c r="A16" s="9"/>
      <c r="B16" s="15"/>
      <c r="C16" s="15"/>
      <c r="D16" s="15"/>
      <c r="E16" s="13"/>
      <c r="F16" s="13"/>
      <c r="H16" s="14"/>
    </row>
    <row r="17" spans="1:12" s="7" customFormat="1" ht="34.9" customHeight="1">
      <c r="A17" s="9" t="s">
        <v>77</v>
      </c>
      <c r="B17" s="15">
        <f>4*188</f>
        <v>752</v>
      </c>
      <c r="C17" s="15"/>
      <c r="D17" s="15"/>
      <c r="E17" s="13"/>
      <c r="F17" s="13"/>
      <c r="G17" s="7">
        <v>20</v>
      </c>
      <c r="H17" s="14">
        <v>188</v>
      </c>
      <c r="I17" s="7">
        <f>G17*H17</f>
        <v>3760</v>
      </c>
      <c r="L17" s="7">
        <v>20</v>
      </c>
    </row>
    <row r="18" spans="1:12" s="21" customFormat="1" ht="24" customHeight="1" thickBot="1">
      <c r="A18" s="18" t="s">
        <v>66</v>
      </c>
      <c r="B18" s="19"/>
      <c r="C18" s="19">
        <f>B17</f>
        <v>752</v>
      </c>
      <c r="D18" s="64"/>
      <c r="E18" s="20"/>
      <c r="F18" s="20"/>
      <c r="G18" s="20"/>
      <c r="H18" s="20"/>
    </row>
    <row r="19" spans="1:12" ht="21.75" customHeight="1" thickTop="1"/>
    <row r="20" spans="1:12" s="7" customFormat="1" ht="36.6" customHeight="1">
      <c r="A20" s="9" t="s">
        <v>78</v>
      </c>
      <c r="B20" s="15">
        <f>4*188</f>
        <v>752</v>
      </c>
      <c r="C20" s="15"/>
      <c r="D20" s="15"/>
      <c r="E20" s="13"/>
      <c r="F20" s="13"/>
      <c r="G20" s="7">
        <v>94</v>
      </c>
      <c r="H20" s="14">
        <v>50</v>
      </c>
      <c r="L20" s="7">
        <v>20</v>
      </c>
    </row>
    <row r="21" spans="1:12" s="21" customFormat="1" ht="24" customHeight="1" thickBot="1">
      <c r="A21" s="18" t="s">
        <v>67</v>
      </c>
      <c r="B21" s="19"/>
      <c r="C21" s="19">
        <f>B20</f>
        <v>752</v>
      </c>
      <c r="D21" s="64"/>
      <c r="E21" s="20"/>
      <c r="F21" s="20"/>
      <c r="G21" s="20"/>
      <c r="H21" s="20"/>
    </row>
    <row r="22" spans="1:12" ht="19.5" customHeight="1" thickTop="1"/>
    <row r="23" spans="1:12" s="7" customFormat="1" ht="49.9" customHeight="1">
      <c r="A23" s="9" t="s">
        <v>79</v>
      </c>
      <c r="B23" s="15">
        <f>4*188</f>
        <v>752</v>
      </c>
      <c r="C23" s="15"/>
      <c r="D23" s="15"/>
      <c r="E23" s="13"/>
      <c r="F23" s="13"/>
      <c r="G23" s="7">
        <v>216</v>
      </c>
      <c r="H23" s="14">
        <v>50</v>
      </c>
      <c r="L23" s="7">
        <v>20</v>
      </c>
    </row>
    <row r="24" spans="1:12" s="21" customFormat="1" ht="24" customHeight="1" thickBot="1">
      <c r="A24" s="18" t="s">
        <v>68</v>
      </c>
      <c r="B24" s="19"/>
      <c r="C24" s="19">
        <f>B23</f>
        <v>752</v>
      </c>
      <c r="D24" s="64"/>
      <c r="E24" s="20"/>
      <c r="F24" s="20"/>
      <c r="G24" s="20"/>
      <c r="H24" s="20"/>
    </row>
    <row r="25" spans="1:12" ht="23.25" customHeight="1" thickTop="1"/>
    <row r="26" spans="1:12" s="7" customFormat="1" ht="36" customHeight="1">
      <c r="A26" s="9" t="s">
        <v>80</v>
      </c>
      <c r="B26" s="15">
        <f>4*188</f>
        <v>752</v>
      </c>
      <c r="C26" s="15"/>
      <c r="D26" s="15"/>
      <c r="E26" s="13"/>
      <c r="F26" s="13"/>
      <c r="G26" s="7">
        <v>186</v>
      </c>
      <c r="H26" s="14">
        <v>50</v>
      </c>
      <c r="I26" s="7" t="s">
        <v>60</v>
      </c>
      <c r="L26" s="7">
        <v>20</v>
      </c>
    </row>
    <row r="27" spans="1:12" s="21" customFormat="1" ht="24" customHeight="1" thickBot="1">
      <c r="A27" s="18" t="s">
        <v>69</v>
      </c>
      <c r="B27" s="19"/>
      <c r="C27" s="19">
        <f>B26</f>
        <v>752</v>
      </c>
      <c r="D27" s="64"/>
      <c r="E27" s="20"/>
      <c r="F27" s="20"/>
      <c r="G27" s="20"/>
      <c r="H27" s="20"/>
    </row>
    <row r="28" spans="1:12" ht="24" customHeight="1" thickTop="1"/>
    <row r="29" spans="1:12" s="7" customFormat="1" ht="19.5" customHeight="1">
      <c r="A29" s="9" t="s">
        <v>70</v>
      </c>
      <c r="B29" s="15">
        <f>96*50</f>
        <v>4800</v>
      </c>
      <c r="C29" s="15"/>
      <c r="D29" s="15"/>
      <c r="E29" s="13"/>
      <c r="F29" s="13"/>
      <c r="G29" s="7">
        <f>289-194</f>
        <v>95</v>
      </c>
      <c r="H29" s="14">
        <v>50</v>
      </c>
      <c r="J29" s="7">
        <f t="shared" ref="J29" si="1">I29*H29</f>
        <v>0</v>
      </c>
      <c r="L29" s="7">
        <v>20</v>
      </c>
    </row>
    <row r="30" spans="1:12" s="21" customFormat="1" ht="24" customHeight="1" thickBot="1">
      <c r="A30" s="18" t="s">
        <v>71</v>
      </c>
      <c r="B30" s="19"/>
      <c r="C30" s="19">
        <f>B29</f>
        <v>4800</v>
      </c>
      <c r="D30" s="64"/>
      <c r="E30" s="20"/>
      <c r="F30" s="20"/>
      <c r="G30" s="20"/>
      <c r="H30" s="20"/>
    </row>
    <row r="31" spans="1:12" ht="16.149999999999999" customHeight="1" thickTop="1"/>
    <row r="32" spans="1:12" s="7" customFormat="1" ht="19.5" customHeight="1">
      <c r="A32" s="9" t="s">
        <v>81</v>
      </c>
      <c r="B32" s="15"/>
      <c r="C32" s="15"/>
      <c r="D32" s="15"/>
      <c r="E32" s="13">
        <v>5</v>
      </c>
      <c r="F32" s="13"/>
      <c r="G32" s="7">
        <v>208</v>
      </c>
      <c r="H32" s="14">
        <f>E32*G32</f>
        <v>1040</v>
      </c>
      <c r="J32" s="7">
        <f t="shared" ref="J32" si="2">I32*H32</f>
        <v>0</v>
      </c>
      <c r="L32" s="7">
        <v>20</v>
      </c>
    </row>
    <row r="33" spans="1:12" s="7" customFormat="1" ht="24" customHeight="1">
      <c r="A33" s="9" t="s">
        <v>82</v>
      </c>
      <c r="B33" s="15">
        <f>188*6</f>
        <v>1128</v>
      </c>
      <c r="C33" s="15"/>
      <c r="D33" s="15"/>
      <c r="E33" s="13">
        <v>188</v>
      </c>
      <c r="F33" s="13"/>
      <c r="G33" s="7">
        <v>185</v>
      </c>
      <c r="H33" s="14">
        <v>11</v>
      </c>
      <c r="I33" s="7">
        <f>G33*H33</f>
        <v>2035</v>
      </c>
      <c r="J33" s="7" t="s">
        <v>44</v>
      </c>
      <c r="K33" s="7">
        <f>1.5*200</f>
        <v>300</v>
      </c>
    </row>
    <row r="34" spans="1:12" s="21" customFormat="1" ht="24" customHeight="1" thickBot="1">
      <c r="A34" s="18" t="s">
        <v>72</v>
      </c>
      <c r="B34" s="19"/>
      <c r="C34" s="19">
        <f>B32+B33</f>
        <v>1128</v>
      </c>
      <c r="D34" s="64"/>
      <c r="E34" s="20"/>
      <c r="F34" s="20"/>
      <c r="G34" s="20"/>
      <c r="H34" s="20"/>
    </row>
    <row r="35" spans="1:12" ht="15" thickTop="1"/>
    <row r="36" spans="1:12" s="21" customFormat="1" ht="24" customHeight="1" thickBot="1">
      <c r="A36" s="18" t="s">
        <v>73</v>
      </c>
      <c r="B36" s="19"/>
      <c r="C36" s="19">
        <f>SUM(C16:C35)</f>
        <v>8936</v>
      </c>
      <c r="D36" s="64"/>
      <c r="E36" s="20"/>
      <c r="F36" s="20"/>
      <c r="G36" s="20" t="e">
        <f>#REF!+G17+G20+G23+G26+G29+#REF!+G32</f>
        <v>#REF!</v>
      </c>
      <c r="H36" s="20"/>
    </row>
    <row r="37" spans="1:12" s="35" customFormat="1" ht="30.75" customHeight="1" thickTop="1">
      <c r="A37" s="32"/>
      <c r="B37" s="33"/>
      <c r="C37" s="33"/>
      <c r="D37" s="33"/>
      <c r="E37" s="34"/>
      <c r="F37" s="34"/>
      <c r="H37" s="35">
        <v>10</v>
      </c>
      <c r="I37" s="36">
        <v>200</v>
      </c>
      <c r="J37" s="36">
        <f t="shared" ref="J37:J39" si="3">I37*H37</f>
        <v>2000</v>
      </c>
      <c r="K37" s="35">
        <f>J37/200</f>
        <v>10</v>
      </c>
    </row>
    <row r="38" spans="1:12" s="35" customFormat="1" ht="36" customHeight="1">
      <c r="A38" s="42" t="s">
        <v>83</v>
      </c>
      <c r="B38" s="33"/>
      <c r="C38" s="33"/>
      <c r="D38" s="33"/>
      <c r="E38" s="34"/>
      <c r="F38" s="34"/>
      <c r="H38" s="35">
        <v>10</v>
      </c>
      <c r="I38" s="36">
        <v>200</v>
      </c>
      <c r="J38" s="36">
        <f t="shared" si="3"/>
        <v>2000</v>
      </c>
      <c r="K38" s="35">
        <f>J38/200</f>
        <v>10</v>
      </c>
    </row>
    <row r="39" spans="1:12" s="7" customFormat="1" ht="19.5" customHeight="1">
      <c r="A39" s="43" t="s">
        <v>88</v>
      </c>
      <c r="B39" s="15">
        <f>188*6</f>
        <v>1128</v>
      </c>
      <c r="C39" s="15"/>
      <c r="D39" s="15"/>
      <c r="E39" s="13"/>
      <c r="F39" s="13"/>
      <c r="G39" s="7">
        <f>129-70</f>
        <v>59</v>
      </c>
      <c r="H39" s="14">
        <v>90</v>
      </c>
      <c r="I39" s="7">
        <v>75</v>
      </c>
      <c r="J39" s="7">
        <f t="shared" si="3"/>
        <v>6750</v>
      </c>
      <c r="L39" s="7">
        <v>20</v>
      </c>
    </row>
    <row r="40" spans="1:12" s="21" customFormat="1" ht="24" customHeight="1" thickBot="1">
      <c r="A40" s="18" t="s">
        <v>87</v>
      </c>
      <c r="B40" s="19"/>
      <c r="C40" s="19">
        <f>B39</f>
        <v>1128</v>
      </c>
      <c r="D40" s="64"/>
      <c r="E40" s="20"/>
      <c r="F40" s="20"/>
      <c r="G40" s="20"/>
      <c r="H40" s="20"/>
    </row>
    <row r="41" spans="1:12" ht="15" thickTop="1"/>
    <row r="42" spans="1:12" ht="172.5" customHeight="1"/>
    <row r="43" spans="1:12" s="40" customFormat="1" ht="7.5" customHeight="1">
      <c r="A43" s="37"/>
      <c r="B43" s="38"/>
      <c r="C43" s="38"/>
      <c r="D43" s="38"/>
      <c r="E43" s="39"/>
      <c r="F43" s="39"/>
      <c r="I43" s="41"/>
      <c r="J43" s="41"/>
    </row>
    <row r="44" spans="1:12" s="40" customFormat="1" ht="7.5" customHeight="1">
      <c r="A44" s="37"/>
      <c r="B44" s="38"/>
      <c r="C44" s="38"/>
      <c r="D44" s="38"/>
      <c r="E44" s="39"/>
      <c r="F44" s="39"/>
      <c r="I44" s="41"/>
      <c r="J44" s="41"/>
    </row>
    <row r="45" spans="1:12" s="35" customFormat="1" ht="36" customHeight="1">
      <c r="A45" s="42" t="s">
        <v>84</v>
      </c>
      <c r="B45" s="33"/>
      <c r="C45" s="33"/>
      <c r="D45" s="33"/>
      <c r="E45" s="34"/>
      <c r="F45" s="34"/>
      <c r="H45" s="35">
        <v>10</v>
      </c>
      <c r="I45" s="36">
        <v>200</v>
      </c>
      <c r="J45" s="36">
        <f t="shared" ref="J45:J46" si="4">I45*H45</f>
        <v>2000</v>
      </c>
      <c r="K45" s="35">
        <f>J45/200</f>
        <v>10</v>
      </c>
    </row>
    <row r="46" spans="1:12" s="7" customFormat="1" ht="19.5" customHeight="1">
      <c r="A46" s="9" t="s">
        <v>47</v>
      </c>
      <c r="B46" s="15">
        <f>188*3</f>
        <v>564</v>
      </c>
      <c r="C46" s="15"/>
      <c r="D46" s="15"/>
      <c r="E46" s="13"/>
      <c r="F46" s="13"/>
      <c r="G46" s="7">
        <f>129-70</f>
        <v>59</v>
      </c>
      <c r="H46" s="14">
        <v>90</v>
      </c>
      <c r="I46" s="7">
        <v>75</v>
      </c>
      <c r="J46" s="7">
        <f t="shared" si="4"/>
        <v>6750</v>
      </c>
      <c r="L46" s="7">
        <v>20</v>
      </c>
    </row>
    <row r="47" spans="1:12" s="7" customFormat="1" ht="24" customHeight="1">
      <c r="A47" s="9" t="s">
        <v>48</v>
      </c>
      <c r="B47" s="15">
        <f>3*188*6</f>
        <v>3384</v>
      </c>
      <c r="C47" s="15"/>
      <c r="D47" s="15"/>
      <c r="E47" s="13">
        <f>1500/6</f>
        <v>250</v>
      </c>
      <c r="F47" s="13"/>
      <c r="G47" s="7">
        <f>250/70</f>
        <v>3.5714285714285716</v>
      </c>
      <c r="H47" s="14">
        <f>G47*216</f>
        <v>771.42857142857144</v>
      </c>
      <c r="I47" s="7">
        <f>H47/200</f>
        <v>3.8571428571428572</v>
      </c>
      <c r="J47" s="7" t="s">
        <v>44</v>
      </c>
      <c r="K47" s="7">
        <f>1.5*200</f>
        <v>300</v>
      </c>
    </row>
    <row r="48" spans="1:12" s="21" customFormat="1" ht="24" customHeight="1" thickBot="1">
      <c r="A48" s="18" t="s">
        <v>46</v>
      </c>
      <c r="B48" s="19"/>
      <c r="C48" s="19">
        <f>B46+B47</f>
        <v>3948</v>
      </c>
      <c r="D48" s="64"/>
      <c r="E48" s="20"/>
      <c r="F48" s="20"/>
      <c r="G48" s="20"/>
      <c r="H48" s="20"/>
    </row>
    <row r="49" spans="1:12" ht="15" thickTop="1"/>
    <row r="50" spans="1:12" s="7" customFormat="1" ht="19.5" customHeight="1">
      <c r="A50" s="9" t="s">
        <v>74</v>
      </c>
      <c r="B50" s="15">
        <f>188*3</f>
        <v>564</v>
      </c>
      <c r="C50" s="15"/>
      <c r="D50" s="15"/>
      <c r="E50" s="13"/>
      <c r="F50" s="13"/>
      <c r="G50" s="7">
        <f>129-70</f>
        <v>59</v>
      </c>
      <c r="H50" s="14">
        <v>90</v>
      </c>
      <c r="I50" s="7">
        <v>75</v>
      </c>
      <c r="J50" s="7">
        <f t="shared" ref="J50" si="5">I50*H50</f>
        <v>6750</v>
      </c>
      <c r="L50" s="7">
        <v>20</v>
      </c>
    </row>
    <row r="51" spans="1:12" s="7" customFormat="1" ht="24" customHeight="1">
      <c r="A51" s="9" t="s">
        <v>45</v>
      </c>
      <c r="B51" s="15">
        <f>3*188*6</f>
        <v>3384</v>
      </c>
      <c r="C51" s="15"/>
      <c r="D51" s="15"/>
      <c r="E51" s="13">
        <f>1500/6</f>
        <v>250</v>
      </c>
      <c r="F51" s="13"/>
      <c r="G51" s="7">
        <f>250/70</f>
        <v>3.5714285714285716</v>
      </c>
      <c r="H51" s="14">
        <f>G51*186</f>
        <v>664.28571428571433</v>
      </c>
      <c r="I51" s="7">
        <f>H51/200</f>
        <v>3.3214285714285716</v>
      </c>
      <c r="J51" s="7" t="s">
        <v>44</v>
      </c>
      <c r="K51" s="7">
        <f>1.5*200</f>
        <v>300</v>
      </c>
    </row>
    <row r="52" spans="1:12" s="21" customFormat="1" ht="24" customHeight="1" thickBot="1">
      <c r="A52" s="18" t="s">
        <v>49</v>
      </c>
      <c r="B52" s="19"/>
      <c r="C52" s="19">
        <f>B50+B51</f>
        <v>3948</v>
      </c>
      <c r="D52" s="64"/>
      <c r="E52" s="20"/>
      <c r="F52" s="20"/>
      <c r="G52" s="20"/>
      <c r="H52" s="20"/>
    </row>
    <row r="53" spans="1:12" ht="15" thickTop="1"/>
    <row r="54" spans="1:12" s="7" customFormat="1" ht="19.5" customHeight="1">
      <c r="A54" s="9" t="s">
        <v>50</v>
      </c>
      <c r="B54" s="15">
        <f>188*3</f>
        <v>564</v>
      </c>
      <c r="C54" s="15"/>
      <c r="D54" s="15"/>
      <c r="E54" s="13"/>
      <c r="F54" s="13"/>
      <c r="G54" s="7">
        <f>129-70</f>
        <v>59</v>
      </c>
      <c r="H54" s="14">
        <v>90</v>
      </c>
      <c r="I54" s="7">
        <v>75</v>
      </c>
      <c r="J54" s="7">
        <f t="shared" ref="J54" si="6">I54*H54</f>
        <v>6750</v>
      </c>
      <c r="L54" s="7">
        <v>20</v>
      </c>
    </row>
    <row r="55" spans="1:12" s="7" customFormat="1" ht="24" customHeight="1">
      <c r="A55" s="9" t="s">
        <v>52</v>
      </c>
      <c r="B55" s="15">
        <f>3*188*1</f>
        <v>564</v>
      </c>
      <c r="C55" s="15"/>
      <c r="D55" s="15"/>
      <c r="E55" s="13">
        <f>1500/6</f>
        <v>250</v>
      </c>
      <c r="F55" s="13"/>
      <c r="G55" s="7">
        <f>250/70</f>
        <v>3.5714285714285716</v>
      </c>
      <c r="H55" s="14">
        <f>G55*183</f>
        <v>653.57142857142856</v>
      </c>
      <c r="I55" s="7">
        <f>H55/200</f>
        <v>3.2678571428571428</v>
      </c>
      <c r="J55" s="7" t="s">
        <v>44</v>
      </c>
      <c r="K55" s="7">
        <f>1.5*200</f>
        <v>300</v>
      </c>
    </row>
    <row r="56" spans="1:12" s="21" customFormat="1" ht="24" customHeight="1" thickBot="1">
      <c r="A56" s="18" t="s">
        <v>55</v>
      </c>
      <c r="B56" s="19"/>
      <c r="C56" s="19">
        <f>B54+B55</f>
        <v>1128</v>
      </c>
      <c r="D56" s="64"/>
      <c r="E56" s="20"/>
      <c r="F56" s="20"/>
      <c r="G56" s="20"/>
      <c r="H56" s="20"/>
    </row>
    <row r="57" spans="1:12" ht="15" thickTop="1"/>
    <row r="58" spans="1:12" s="7" customFormat="1" ht="19.5" customHeight="1">
      <c r="A58" s="9" t="s">
        <v>63</v>
      </c>
      <c r="B58" s="15">
        <f>188*3</f>
        <v>564</v>
      </c>
      <c r="C58" s="15"/>
      <c r="D58" s="15"/>
      <c r="E58" s="13"/>
      <c r="F58" s="13"/>
      <c r="G58" s="7">
        <f>129-70</f>
        <v>59</v>
      </c>
      <c r="H58" s="14">
        <v>90</v>
      </c>
      <c r="I58" s="7">
        <v>75</v>
      </c>
      <c r="J58" s="7">
        <f t="shared" ref="J58" si="7">I58*H58</f>
        <v>6750</v>
      </c>
      <c r="L58" s="7">
        <v>20</v>
      </c>
    </row>
    <row r="59" spans="1:12" s="7" customFormat="1" ht="24" customHeight="1">
      <c r="A59" s="9" t="s">
        <v>64</v>
      </c>
      <c r="B59" s="15">
        <v>0</v>
      </c>
      <c r="C59" s="15"/>
      <c r="D59" s="15"/>
      <c r="E59" s="13">
        <f>1500/6</f>
        <v>250</v>
      </c>
      <c r="F59" s="13"/>
      <c r="G59" s="7">
        <f>250/70</f>
        <v>3.5714285714285716</v>
      </c>
      <c r="H59" s="14">
        <f>G59*183</f>
        <v>653.57142857142856</v>
      </c>
      <c r="I59" s="7">
        <f>H59/200</f>
        <v>3.2678571428571428</v>
      </c>
      <c r="J59" s="7" t="s">
        <v>44</v>
      </c>
      <c r="K59" s="7">
        <f>1.5*200</f>
        <v>300</v>
      </c>
    </row>
    <row r="60" spans="1:12" s="21" customFormat="1" ht="24" customHeight="1" thickBot="1">
      <c r="A60" s="18" t="s">
        <v>62</v>
      </c>
      <c r="B60" s="19"/>
      <c r="C60" s="19">
        <f>B58+B59</f>
        <v>564</v>
      </c>
      <c r="D60" s="64"/>
      <c r="E60" s="20"/>
      <c r="F60" s="20"/>
      <c r="G60" s="20"/>
      <c r="H60" s="20"/>
    </row>
    <row r="61" spans="1:12" ht="15" thickTop="1"/>
    <row r="62" spans="1:12" s="21" customFormat="1" ht="24" customHeight="1" thickBot="1">
      <c r="A62" s="18" t="s">
        <v>54</v>
      </c>
      <c r="B62" s="19"/>
      <c r="C62" s="19">
        <f>SUM(C48:C61)</f>
        <v>9588</v>
      </c>
      <c r="D62" s="64"/>
      <c r="E62" s="20"/>
      <c r="F62" s="20"/>
      <c r="G62" s="20"/>
      <c r="H62" s="20"/>
    </row>
    <row r="63" spans="1:12" ht="15" thickTop="1"/>
    <row r="64" spans="1:12" s="55" customFormat="1" ht="7.5" customHeight="1">
      <c r="A64" s="54"/>
      <c r="B64" s="54"/>
      <c r="C64" s="54"/>
      <c r="D64" s="54"/>
    </row>
    <row r="65" spans="1:11" s="35" customFormat="1" ht="36" customHeight="1">
      <c r="A65" s="42" t="s">
        <v>85</v>
      </c>
      <c r="B65" s="33"/>
      <c r="C65" s="33"/>
      <c r="D65" s="33"/>
      <c r="E65" s="34"/>
      <c r="F65" s="34"/>
      <c r="G65" s="35" t="s">
        <v>22</v>
      </c>
      <c r="H65" s="35" t="s">
        <v>53</v>
      </c>
      <c r="I65" s="36">
        <v>200</v>
      </c>
      <c r="J65" s="36" t="e">
        <f t="shared" ref="J65" si="8">I65*H65</f>
        <v>#VALUE!</v>
      </c>
      <c r="K65" s="35" t="e">
        <f>J65/200</f>
        <v>#VALUE!</v>
      </c>
    </row>
    <row r="75" spans="1:11">
      <c r="A75" s="1" t="s">
        <v>21</v>
      </c>
      <c r="B75" s="1">
        <v>3000</v>
      </c>
      <c r="C75" s="1">
        <v>70</v>
      </c>
      <c r="E75" s="2">
        <v>7</v>
      </c>
      <c r="G75" s="2">
        <f>B75*C75</f>
        <v>210000</v>
      </c>
      <c r="H75" s="2">
        <f>G75*7</f>
        <v>1470000</v>
      </c>
    </row>
    <row r="77" spans="1:11">
      <c r="A77" s="1" t="s">
        <v>31</v>
      </c>
    </row>
    <row r="78" spans="1:11">
      <c r="A78" s="1" t="s">
        <v>33</v>
      </c>
      <c r="B78" s="1">
        <f>3500/70</f>
        <v>50</v>
      </c>
    </row>
    <row r="79" spans="1:11" ht="15">
      <c r="B79" s="1" t="s">
        <v>22</v>
      </c>
      <c r="C79" s="1" t="s">
        <v>23</v>
      </c>
      <c r="E79" s="1" t="s">
        <v>32</v>
      </c>
      <c r="F79" s="1"/>
      <c r="G79" s="30" t="s">
        <v>34</v>
      </c>
    </row>
    <row r="80" spans="1:11">
      <c r="A80" s="27" t="s">
        <v>24</v>
      </c>
      <c r="B80" s="1">
        <v>129</v>
      </c>
      <c r="C80" s="1">
        <v>72</v>
      </c>
      <c r="E80" s="2">
        <f t="shared" ref="E80:E86" si="9">B80-70</f>
        <v>59</v>
      </c>
      <c r="G80" s="2">
        <f>E80*50</f>
        <v>2950</v>
      </c>
    </row>
    <row r="81" spans="1:7">
      <c r="A81" s="27" t="s">
        <v>25</v>
      </c>
      <c r="B81" s="1">
        <v>110</v>
      </c>
      <c r="C81" s="1">
        <v>35</v>
      </c>
      <c r="E81" s="2">
        <f t="shared" si="9"/>
        <v>40</v>
      </c>
      <c r="G81" s="2">
        <f t="shared" ref="G81:G86" si="10">E81*50</f>
        <v>2000</v>
      </c>
    </row>
    <row r="82" spans="1:7">
      <c r="A82" s="27" t="s">
        <v>26</v>
      </c>
      <c r="B82" s="1">
        <v>94</v>
      </c>
      <c r="C82" s="1">
        <v>38</v>
      </c>
      <c r="E82" s="2">
        <f t="shared" si="9"/>
        <v>24</v>
      </c>
      <c r="G82" s="2">
        <f t="shared" si="10"/>
        <v>1200</v>
      </c>
    </row>
    <row r="83" spans="1:7">
      <c r="A83" s="27" t="s">
        <v>28</v>
      </c>
      <c r="B83" s="1">
        <v>216</v>
      </c>
      <c r="C83" s="1">
        <v>11</v>
      </c>
      <c r="E83" s="2">
        <f t="shared" si="9"/>
        <v>146</v>
      </c>
      <c r="G83" s="2">
        <f t="shared" si="10"/>
        <v>7300</v>
      </c>
    </row>
    <row r="84" spans="1:7">
      <c r="A84" s="27" t="s">
        <v>27</v>
      </c>
      <c r="B84" s="1">
        <v>186</v>
      </c>
      <c r="C84" s="1">
        <v>73</v>
      </c>
      <c r="E84" s="2">
        <f t="shared" si="9"/>
        <v>116</v>
      </c>
      <c r="G84" s="2">
        <f t="shared" si="10"/>
        <v>5800</v>
      </c>
    </row>
    <row r="85" spans="1:7">
      <c r="A85" s="27" t="s">
        <v>29</v>
      </c>
      <c r="B85" s="1">
        <v>194</v>
      </c>
      <c r="C85" s="1">
        <v>9</v>
      </c>
      <c r="E85" s="2">
        <f t="shared" si="9"/>
        <v>124</v>
      </c>
      <c r="G85" s="2">
        <f t="shared" si="10"/>
        <v>6200</v>
      </c>
    </row>
    <row r="86" spans="1:7">
      <c r="A86" s="27" t="s">
        <v>30</v>
      </c>
      <c r="B86" s="1">
        <v>183</v>
      </c>
      <c r="C86" s="1">
        <v>14</v>
      </c>
      <c r="E86" s="2">
        <f t="shared" si="9"/>
        <v>113</v>
      </c>
      <c r="G86" s="2">
        <f t="shared" si="10"/>
        <v>5650</v>
      </c>
    </row>
    <row r="87" spans="1:7">
      <c r="A87" s="27"/>
    </row>
    <row r="88" spans="1:7">
      <c r="B88" s="28"/>
      <c r="C88" s="28"/>
      <c r="D88" s="28"/>
      <c r="E88" s="29"/>
      <c r="F88" s="29"/>
      <c r="G88" s="29"/>
    </row>
    <row r="90" spans="1:7" ht="15.75" thickBot="1">
      <c r="B90" s="1">
        <f>SUM(B80:B89)</f>
        <v>1112</v>
      </c>
      <c r="E90" s="2">
        <f>SUM(E80:E89)</f>
        <v>622</v>
      </c>
      <c r="G90" s="19">
        <f>SUM(G80:G89)</f>
        <v>31100</v>
      </c>
    </row>
    <row r="91" spans="1:7" ht="15" thickTop="1"/>
    <row r="93" spans="1:7">
      <c r="A93" s="1" t="s">
        <v>35</v>
      </c>
      <c r="B93" s="1">
        <f>250/70</f>
        <v>3.5714285714285716</v>
      </c>
    </row>
    <row r="94" spans="1:7">
      <c r="A94" s="1" t="s">
        <v>36</v>
      </c>
      <c r="B94" s="1">
        <f>3.5*619</f>
        <v>2166.5</v>
      </c>
      <c r="G94" s="1">
        <f t="shared" ref="G94:G99" si="11">3.5*619</f>
        <v>2166.5</v>
      </c>
    </row>
    <row r="95" spans="1:7">
      <c r="A95" s="1" t="s">
        <v>37</v>
      </c>
      <c r="B95" s="1">
        <f t="shared" ref="B95:B99" si="12">3.5*619</f>
        <v>2166.5</v>
      </c>
      <c r="G95" s="1">
        <f t="shared" si="11"/>
        <v>2166.5</v>
      </c>
    </row>
    <row r="96" spans="1:7">
      <c r="A96" s="1" t="s">
        <v>38</v>
      </c>
      <c r="B96" s="1">
        <f t="shared" si="12"/>
        <v>2166.5</v>
      </c>
      <c r="G96" s="1">
        <f t="shared" si="11"/>
        <v>2166.5</v>
      </c>
    </row>
    <row r="97" spans="1:15">
      <c r="A97" s="1" t="s">
        <v>39</v>
      </c>
      <c r="B97" s="1">
        <f t="shared" si="12"/>
        <v>2166.5</v>
      </c>
      <c r="G97" s="1">
        <f t="shared" si="11"/>
        <v>2166.5</v>
      </c>
    </row>
    <row r="98" spans="1:15">
      <c r="A98" s="1" t="s">
        <v>40</v>
      </c>
      <c r="B98" s="1">
        <f t="shared" si="12"/>
        <v>2166.5</v>
      </c>
      <c r="G98" s="1">
        <f t="shared" si="11"/>
        <v>2166.5</v>
      </c>
    </row>
    <row r="99" spans="1:15">
      <c r="A99" s="1" t="s">
        <v>41</v>
      </c>
      <c r="B99" s="1">
        <f t="shared" si="12"/>
        <v>2166.5</v>
      </c>
      <c r="G99" s="1">
        <f t="shared" si="11"/>
        <v>2166.5</v>
      </c>
    </row>
    <row r="101" spans="1:15">
      <c r="G101" s="29"/>
    </row>
    <row r="103" spans="1:15" ht="15.75" thickBot="1">
      <c r="G103" s="19">
        <f>SUM(G94:G102)</f>
        <v>12999</v>
      </c>
    </row>
    <row r="104" spans="1:15" ht="15" thickTop="1"/>
    <row r="105" spans="1:15" ht="15.75" thickBot="1">
      <c r="A105" s="1" t="s">
        <v>42</v>
      </c>
      <c r="G105" s="19">
        <f>G103+G90</f>
        <v>44099</v>
      </c>
    </row>
    <row r="106" spans="1:15" ht="15" thickTop="1"/>
    <row r="109" spans="1:15" s="3" customFormat="1" ht="32.1" customHeight="1">
      <c r="A109" s="57" t="s">
        <v>18</v>
      </c>
      <c r="B109" s="62"/>
      <c r="C109" s="25"/>
      <c r="D109" s="65"/>
      <c r="E109" s="2"/>
      <c r="F109" s="2"/>
      <c r="G109" s="6" t="s">
        <v>0</v>
      </c>
      <c r="H109" s="6" t="s">
        <v>1</v>
      </c>
      <c r="I109" s="6" t="s">
        <v>2</v>
      </c>
      <c r="J109" s="6" t="s">
        <v>4</v>
      </c>
      <c r="K109" s="6" t="s">
        <v>6</v>
      </c>
      <c r="L109" s="6" t="s">
        <v>3</v>
      </c>
      <c r="M109" s="6" t="s">
        <v>5</v>
      </c>
    </row>
    <row r="110" spans="1:15" s="7" customFormat="1" ht="9" customHeight="1">
      <c r="A110" s="17"/>
      <c r="B110" s="15"/>
      <c r="C110" s="22"/>
      <c r="D110" s="22"/>
      <c r="E110" s="23"/>
      <c r="F110" s="23"/>
      <c r="G110" s="23"/>
      <c r="J110" s="11"/>
      <c r="L110" s="7" t="s">
        <v>8</v>
      </c>
      <c r="O110" s="7" t="s">
        <v>9</v>
      </c>
    </row>
    <row r="111" spans="1:15" s="7" customFormat="1" ht="150" hidden="1" customHeight="1">
      <c r="A111" s="60" t="s">
        <v>16</v>
      </c>
      <c r="B111" s="61"/>
      <c r="C111" s="61"/>
      <c r="D111" s="56"/>
      <c r="E111" s="24"/>
      <c r="F111" s="24"/>
      <c r="G111" s="7">
        <f>41+57+34</f>
        <v>132</v>
      </c>
      <c r="H111" s="7" t="s">
        <v>10</v>
      </c>
      <c r="K111" s="7" t="e">
        <f>H111*200</f>
        <v>#VALUE!</v>
      </c>
      <c r="L111" s="7" t="e">
        <f>K111+J111</f>
        <v>#VALUE!</v>
      </c>
      <c r="M111" s="7" t="e">
        <f>L111/200</f>
        <v>#VALUE!</v>
      </c>
    </row>
    <row r="112" spans="1:15" s="7" customFormat="1" ht="134.25" hidden="1" customHeight="1">
      <c r="A112" s="60" t="s">
        <v>19</v>
      </c>
      <c r="B112" s="61"/>
      <c r="C112" s="61"/>
      <c r="D112" s="56"/>
      <c r="E112" s="24"/>
      <c r="F112" s="24"/>
      <c r="G112" s="7">
        <f>41+57+34</f>
        <v>132</v>
      </c>
      <c r="H112" s="7" t="s">
        <v>10</v>
      </c>
      <c r="K112" s="7" t="e">
        <f>H112*200</f>
        <v>#VALUE!</v>
      </c>
      <c r="L112" s="7" t="e">
        <f>K112+J112</f>
        <v>#VALUE!</v>
      </c>
      <c r="M112" s="7" t="e">
        <f>L112/200</f>
        <v>#VALUE!</v>
      </c>
    </row>
    <row r="113" spans="1:13" s="7" customFormat="1" ht="92.25" hidden="1" customHeight="1">
      <c r="A113" s="60" t="s">
        <v>12</v>
      </c>
      <c r="B113" s="61"/>
      <c r="C113" s="61"/>
      <c r="D113" s="56"/>
      <c r="E113" s="24"/>
      <c r="F113" s="24"/>
      <c r="G113" s="7">
        <f>41+57+34</f>
        <v>132</v>
      </c>
      <c r="H113" s="7" t="s">
        <v>10</v>
      </c>
      <c r="K113" s="7" t="e">
        <f>H113*200</f>
        <v>#VALUE!</v>
      </c>
      <c r="L113" s="7" t="e">
        <f>K113+J113</f>
        <v>#VALUE!</v>
      </c>
      <c r="M113" s="7" t="e">
        <f>L113/200</f>
        <v>#VALUE!</v>
      </c>
    </row>
    <row r="114" spans="1:13" s="7" customFormat="1" ht="36" customHeight="1">
      <c r="A114" s="26" t="s">
        <v>13</v>
      </c>
      <c r="B114" s="15"/>
      <c r="C114" s="15"/>
      <c r="D114" s="15"/>
      <c r="E114" s="12"/>
      <c r="F114" s="12"/>
      <c r="H114" s="7">
        <v>10</v>
      </c>
      <c r="I114" s="11">
        <v>200</v>
      </c>
      <c r="J114" s="11">
        <f t="shared" ref="J114:J116" si="13">I114*H114</f>
        <v>2000</v>
      </c>
      <c r="K114" s="7">
        <f>J114/200</f>
        <v>10</v>
      </c>
    </row>
    <row r="115" spans="1:13" s="7" customFormat="1" ht="19.5" customHeight="1">
      <c r="A115" s="9" t="s">
        <v>14</v>
      </c>
      <c r="B115" s="15">
        <f>70*50</f>
        <v>3500</v>
      </c>
      <c r="C115" s="15"/>
      <c r="D115" s="15"/>
      <c r="E115" s="13"/>
      <c r="F115" s="13"/>
      <c r="G115" s="7">
        <f>3500/70</f>
        <v>50</v>
      </c>
      <c r="H115" s="14">
        <v>90</v>
      </c>
      <c r="I115" s="7">
        <v>75</v>
      </c>
      <c r="J115" s="7">
        <f t="shared" si="13"/>
        <v>6750</v>
      </c>
      <c r="L115" s="7">
        <v>20</v>
      </c>
    </row>
    <row r="116" spans="1:13" s="7" customFormat="1" ht="24" customHeight="1">
      <c r="A116" s="9" t="s">
        <v>15</v>
      </c>
      <c r="B116" s="15">
        <f>250*6</f>
        <v>1500</v>
      </c>
      <c r="C116" s="15"/>
      <c r="D116" s="15"/>
      <c r="E116" s="13">
        <f>1500/6</f>
        <v>250</v>
      </c>
      <c r="F116" s="13"/>
      <c r="G116" s="7">
        <f>E116*8</f>
        <v>2000</v>
      </c>
      <c r="H116" s="14"/>
      <c r="I116" s="7">
        <v>75</v>
      </c>
      <c r="J116" s="7">
        <f t="shared" si="13"/>
        <v>0</v>
      </c>
      <c r="L116" s="7">
        <v>20</v>
      </c>
    </row>
    <row r="117" spans="1:13" s="21" customFormat="1" ht="24" customHeight="1" thickBot="1">
      <c r="A117" s="18" t="s">
        <v>17</v>
      </c>
      <c r="B117" s="19"/>
      <c r="C117" s="19">
        <f>B115+B116</f>
        <v>5000</v>
      </c>
      <c r="D117" s="64"/>
      <c r="E117" s="20"/>
      <c r="F117" s="20"/>
      <c r="G117" s="20"/>
      <c r="H117" s="20"/>
    </row>
    <row r="118" spans="1:13" s="7" customFormat="1" ht="15.75" customHeight="1" thickTop="1">
      <c r="A118" s="9"/>
      <c r="B118" s="15"/>
      <c r="C118" s="15"/>
      <c r="D118" s="15"/>
      <c r="E118" s="13"/>
      <c r="F118" s="13"/>
      <c r="H118" s="14"/>
    </row>
    <row r="119" spans="1:13" s="21" customFormat="1" ht="24" customHeight="1" thickBot="1">
      <c r="A119" s="18" t="s">
        <v>20</v>
      </c>
      <c r="B119" s="19"/>
      <c r="C119" s="19">
        <f>C117*8</f>
        <v>40000</v>
      </c>
      <c r="D119" s="64"/>
      <c r="E119" s="20"/>
      <c r="F119" s="20"/>
      <c r="G119" s="20"/>
      <c r="H119" s="20"/>
    </row>
    <row r="120" spans="1:13" ht="15" thickTop="1"/>
    <row r="122" spans="1:13" s="21" customFormat="1" ht="24" customHeight="1" thickBot="1">
      <c r="A122" s="18" t="s">
        <v>43</v>
      </c>
      <c r="B122" s="19"/>
      <c r="C122" s="19">
        <f>C120*8</f>
        <v>0</v>
      </c>
      <c r="D122" s="64"/>
      <c r="E122" s="20"/>
      <c r="F122" s="20"/>
      <c r="G122" s="20"/>
      <c r="H122" s="20"/>
    </row>
    <row r="123" spans="1:13" ht="15" thickTop="1"/>
  </sheetData>
  <mergeCells count="8">
    <mergeCell ref="A4:C4"/>
    <mergeCell ref="A111:C111"/>
    <mergeCell ref="A112:C112"/>
    <mergeCell ref="A113:C113"/>
    <mergeCell ref="A8:C8"/>
    <mergeCell ref="A6:C6"/>
    <mergeCell ref="A7:C7"/>
    <mergeCell ref="A109:B109"/>
  </mergeCells>
  <phoneticPr fontId="12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"/>
  <sheetData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"/>
  <sheetData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Foglio1!Area_stampa</vt:lpstr>
      <vt:lpstr>Foglio1!Print_Area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Patrizia Gariglio</cp:lastModifiedBy>
  <cp:lastPrinted>2024-10-04T08:57:15Z</cp:lastPrinted>
  <dcterms:created xsi:type="dcterms:W3CDTF">2001-04-07T14:32:34Z</dcterms:created>
  <dcterms:modified xsi:type="dcterms:W3CDTF">2024-10-23T07:19:43Z</dcterms:modified>
</cp:coreProperties>
</file>