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ate1904="1"/>
  <mc:AlternateContent xmlns:mc="http://schemas.openxmlformats.org/markup-compatibility/2006">
    <mc:Choice Requires="x15">
      <x15ac:absPath xmlns:x15ac="http://schemas.microsoft.com/office/spreadsheetml/2010/11/ac" url="D:\Condivisa\GEWISS 2\_GEWISS CONTEGGI\05 A LANGE variaz 2024 6_11\"/>
    </mc:Choice>
  </mc:AlternateContent>
  <xr:revisionPtr revIDLastSave="0" documentId="13_ncr:1_{FA36A7A6-8800-4DFA-A22E-67F5C4562E5F}" xr6:coauthVersionLast="47" xr6:coauthVersionMax="47" xr10:uidLastSave="{00000000-0000-0000-0000-000000000000}"/>
  <bookViews>
    <workbookView xWindow="10110" yWindow="5310" windowWidth="24015" windowHeight="15045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Foglio1!$A$1:$C$50</definedName>
    <definedName name="Print_Area" localSheetId="0">Foglio1!$A$1:$C$14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B46" i="1"/>
  <c r="C47" i="1" s="1"/>
  <c r="B43" i="1"/>
  <c r="J43" i="1"/>
  <c r="G43" i="1"/>
  <c r="B35" i="1"/>
  <c r="B31" i="1"/>
  <c r="E15" i="1"/>
  <c r="J31" i="1"/>
  <c r="G31" i="1"/>
  <c r="B37" i="1"/>
  <c r="B26" i="1"/>
  <c r="B22" i="1"/>
  <c r="B18" i="1"/>
  <c r="B16" i="1"/>
  <c r="B36" i="1"/>
  <c r="J42" i="1"/>
  <c r="G42" i="1"/>
  <c r="B42" i="1"/>
  <c r="C44" i="1" s="1"/>
  <c r="H41" i="1"/>
  <c r="J41" i="1" s="1"/>
  <c r="B30" i="1"/>
  <c r="H29" i="1"/>
  <c r="J29" i="1" s="1"/>
  <c r="H25" i="1"/>
  <c r="J25" i="1" s="1"/>
  <c r="H21" i="1"/>
  <c r="J21" i="1" s="1"/>
  <c r="H15" i="1"/>
  <c r="J15" i="1" s="1"/>
  <c r="B38" i="1"/>
  <c r="C32" i="1" l="1"/>
  <c r="C39" i="1"/>
  <c r="C19" i="1"/>
  <c r="J46" i="1" l="1"/>
  <c r="G46" i="1"/>
  <c r="K38" i="1"/>
  <c r="I38" i="1"/>
  <c r="K37" i="1"/>
  <c r="I37" i="1"/>
  <c r="I36" i="1" l="1"/>
  <c r="B60" i="1"/>
  <c r="H34" i="1"/>
  <c r="H10" i="1" l="1"/>
  <c r="G30" i="1" l="1"/>
  <c r="G49" i="1" s="1"/>
  <c r="C27" i="1"/>
  <c r="C23" i="1"/>
  <c r="I16" i="1"/>
  <c r="B55" i="1"/>
  <c r="B56" i="1"/>
  <c r="B59" i="1"/>
  <c r="B63" i="1"/>
  <c r="B64" i="1"/>
  <c r="B67" i="1"/>
  <c r="C69" i="1" s="1"/>
  <c r="K68" i="1"/>
  <c r="G68" i="1"/>
  <c r="H68" i="1" s="1"/>
  <c r="I68" i="1" s="1"/>
  <c r="E68" i="1"/>
  <c r="J67" i="1"/>
  <c r="G67" i="1"/>
  <c r="K36" i="1"/>
  <c r="J34" i="1"/>
  <c r="J74" i="1"/>
  <c r="K74" i="1" s="1"/>
  <c r="J50" i="1"/>
  <c r="K50" i="1" s="1"/>
  <c r="K56" i="1"/>
  <c r="G56" i="1"/>
  <c r="H56" i="1" s="1"/>
  <c r="I56" i="1" s="1"/>
  <c r="E56" i="1"/>
  <c r="J55" i="1"/>
  <c r="G55" i="1"/>
  <c r="J54" i="1"/>
  <c r="K54" i="1" s="1"/>
  <c r="K64" i="1"/>
  <c r="G64" i="1"/>
  <c r="H64" i="1" s="1"/>
  <c r="I64" i="1" s="1"/>
  <c r="E64" i="1"/>
  <c r="J63" i="1"/>
  <c r="G63" i="1"/>
  <c r="J30" i="1"/>
  <c r="K60" i="1"/>
  <c r="G60" i="1"/>
  <c r="H60" i="1" s="1"/>
  <c r="I60" i="1" s="1"/>
  <c r="E60" i="1"/>
  <c r="J59" i="1"/>
  <c r="G59" i="1"/>
  <c r="B103" i="1"/>
  <c r="C131" i="1"/>
  <c r="B124" i="1"/>
  <c r="B125" i="1"/>
  <c r="J125" i="1"/>
  <c r="E125" i="1"/>
  <c r="G125" i="1" s="1"/>
  <c r="J124" i="1"/>
  <c r="G124" i="1"/>
  <c r="J123" i="1"/>
  <c r="K123" i="1" s="1"/>
  <c r="K122" i="1"/>
  <c r="L122" i="1" s="1"/>
  <c r="M122" i="1" s="1"/>
  <c r="G122" i="1"/>
  <c r="K121" i="1"/>
  <c r="L121" i="1" s="1"/>
  <c r="M121" i="1" s="1"/>
  <c r="G121" i="1"/>
  <c r="K120" i="1"/>
  <c r="L120" i="1" s="1"/>
  <c r="M120" i="1" s="1"/>
  <c r="G120" i="1"/>
  <c r="E89" i="1"/>
  <c r="G89" i="1" s="1"/>
  <c r="G103" i="1"/>
  <c r="G104" i="1"/>
  <c r="G105" i="1"/>
  <c r="G106" i="1"/>
  <c r="G107" i="1"/>
  <c r="G108" i="1"/>
  <c r="E90" i="1"/>
  <c r="E91" i="1"/>
  <c r="G91" i="1" s="1"/>
  <c r="E92" i="1"/>
  <c r="G92" i="1" s="1"/>
  <c r="E93" i="1"/>
  <c r="G93" i="1" s="1"/>
  <c r="E94" i="1"/>
  <c r="G94" i="1" s="1"/>
  <c r="E95" i="1"/>
  <c r="G95" i="1" s="1"/>
  <c r="B108" i="1"/>
  <c r="B107" i="1"/>
  <c r="B106" i="1"/>
  <c r="B105" i="1"/>
  <c r="B104" i="1"/>
  <c r="B102" i="1"/>
  <c r="B87" i="1"/>
  <c r="B99" i="1"/>
  <c r="G84" i="1"/>
  <c r="H84" i="1" s="1"/>
  <c r="K7" i="1"/>
  <c r="L7" i="1" s="1"/>
  <c r="M7" i="1" s="1"/>
  <c r="G7" i="1"/>
  <c r="K6" i="1"/>
  <c r="L6" i="1" s="1"/>
  <c r="M6" i="1" s="1"/>
  <c r="G6" i="1"/>
  <c r="G8" i="1"/>
  <c r="K8" i="1"/>
  <c r="L8" i="1" s="1"/>
  <c r="M8" i="1" s="1"/>
  <c r="H2" i="1"/>
  <c r="G2" i="1"/>
  <c r="C49" i="1" l="1"/>
  <c r="D49" i="1"/>
  <c r="E49" i="1" s="1"/>
  <c r="C65" i="1"/>
  <c r="C126" i="1"/>
  <c r="C128" i="1" s="1"/>
  <c r="G112" i="1"/>
  <c r="C61" i="1"/>
  <c r="C57" i="1"/>
  <c r="E99" i="1"/>
  <c r="G90" i="1"/>
  <c r="G99" i="1" s="1"/>
  <c r="G114" i="1" s="1"/>
  <c r="C10" i="1" l="1"/>
  <c r="C12" i="1" s="1"/>
  <c r="C71" i="1"/>
</calcChain>
</file>

<file path=xl/sharedStrings.xml><?xml version="1.0" encoding="utf-8"?>
<sst xmlns="http://schemas.openxmlformats.org/spreadsheetml/2006/main" count="123" uniqueCount="98">
  <si>
    <t>videate</t>
  </si>
  <si>
    <t>pop up</t>
  </si>
  <si>
    <t>test</t>
  </si>
  <si>
    <t>tot testi</t>
  </si>
  <si>
    <t>Testi parole</t>
  </si>
  <si>
    <t>Tot testi cartelle</t>
  </si>
  <si>
    <t>testi Pop up e test</t>
  </si>
  <si>
    <t>KOINE' snc</t>
  </si>
  <si>
    <t>cartelle</t>
  </si>
  <si>
    <t>5 lingue</t>
  </si>
  <si>
    <t xml:space="preserve"> +enel x 62</t>
  </si>
  <si>
    <t xml:space="preserve">servizi di traduzione  - editoria elettronica - multimedia 
Via Fornasio, 5 - 10092 BEINASCO (TO)  
Tel. 011 3971099  • Fax 011 3972261 
P. IVA 05758560014
E-mail: koine@koine.it
</t>
  </si>
  <si>
    <r>
      <rPr>
        <b/>
        <sz val="11"/>
        <rFont val="Arial"/>
        <family val="2"/>
      </rPr>
      <t>MATERIALE DA RICEVERE:</t>
    </r>
    <r>
      <rPr>
        <sz val="11"/>
        <rFont val="Arial"/>
        <family val="2"/>
      </rPr>
      <t xml:space="preserve">
 - storyboard approvato del corso con contenuti delle pagine + testo voiceover in pagina note
 - file audio per voiceover
 - eventuali immagini e video di vs. proprietà
 - traduzioni dei file word esportati nelle varie lingue</t>
    </r>
  </si>
  <si>
    <t>Costi unitari per ogni corso</t>
  </si>
  <si>
    <r>
      <t xml:space="preserve">Sviluppo delle pagine </t>
    </r>
    <r>
      <rPr>
        <b/>
        <sz val="11"/>
        <rFont val="Arial"/>
        <family val="2"/>
      </rPr>
      <t xml:space="preserve"> (70 PAGINE X EURO 50,00)</t>
    </r>
  </si>
  <si>
    <r>
      <t>Localizzazione in 6 lingue</t>
    </r>
    <r>
      <rPr>
        <b/>
        <sz val="11"/>
        <rFont val="Arial"/>
        <family val="2"/>
      </rPr>
      <t xml:space="preserve"> (Euro 250,00 X 6 lingue)</t>
    </r>
  </si>
  <si>
    <r>
      <rPr>
        <b/>
        <sz val="11"/>
        <rFont val="Arial"/>
        <family val="2"/>
      </rPr>
      <t>SPECIFICHE
Sviluppo di corsi online. Master Italiano e localizzazione nelle lingue Inglese - Francese - Spagnolo - Tedesco - Turco -  Rumeno</t>
    </r>
    <r>
      <rPr>
        <sz val="11"/>
        <rFont val="Arial"/>
        <family val="2"/>
      </rPr>
      <t xml:space="preserve">
 - Analisi storyboard e adattamento nel template
 - Sviluppo layout del WBT (realizzazione videate e montaggio nella struttura)
 - Esercitazioni e test finale 
 - Sviluppo di immagini ad hoc se non fornite dal Committente
 - Test di 10 domande (soglia di superamento da definire con tentativi illimitati e tracciamento)
</t>
    </r>
    <r>
      <rPr>
        <b/>
        <sz val="11"/>
        <rFont val="Arial"/>
        <family val="2"/>
      </rPr>
      <t>Formato di interoperabilità con la piattaforma</t>
    </r>
    <r>
      <rPr>
        <sz val="11"/>
        <rFont val="Arial"/>
        <family val="2"/>
      </rPr>
      <t xml:space="preserve">
 SCORM 1.2 o SCORM 2004 </t>
    </r>
  </si>
  <si>
    <t>TOTALE 1 CORSO in 7 LINGUE</t>
  </si>
  <si>
    <t>Preventivo progettazione e realizzazione corsi online - GEWISS - Mario Lange</t>
  </si>
  <si>
    <r>
      <rPr>
        <b/>
        <sz val="11"/>
        <rFont val="Arial"/>
        <family val="2"/>
      </rPr>
      <t xml:space="preserve">Ogni corso sarà composto da: </t>
    </r>
    <r>
      <rPr>
        <sz val="11"/>
        <rFont val="Arial"/>
        <family val="2"/>
      </rPr>
      <t xml:space="preserve">
 - 70/80 videate  con animazioni,  esercitazioni intermedie, interazioni, inclusa ricerca/inserimento di foto,  icone ove richiesto
 - sviluppo sulla base di storyboard (powerpoint) ricevuto
 - inserimento di file audio voiceover (audio) da voi ricevuti
 - 2 aree test di verifica per controllo di ogni corso sviluppato
 - consegna di pacchetti SCORM per caricamento su vs. piattaforma
 - esportazione testi in formato Word per traduzioni
 - eventuali ulteriori variazioni oltre 2 sessioni saranno conteggiate separatamente</t>
    </r>
  </si>
  <si>
    <t>PREVENTIVO SVILUPPO 8 CORSI IN 7 LINGUE</t>
  </si>
  <si>
    <t>AUDIO</t>
  </si>
  <si>
    <t>pagine</t>
  </si>
  <si>
    <t>audio</t>
  </si>
  <si>
    <t>CORSO 1 ELETTROTECNICA</t>
  </si>
  <si>
    <t>CORSO 2 ILLUMINOTECNICA mod 1</t>
  </si>
  <si>
    <t>CORSO 2 ILLUMINOTECNICA mod 2</t>
  </si>
  <si>
    <t>CORSO 4 BUILDING</t>
  </si>
  <si>
    <t>CORSO 3 INSTALLATION</t>
  </si>
  <si>
    <t>CORSO 5 LIGHTING</t>
  </si>
  <si>
    <t>CORSO 6 MOBILITY</t>
  </si>
  <si>
    <t>preventivato 70 X 7 lingue</t>
  </si>
  <si>
    <t>differenza</t>
  </si>
  <si>
    <t>costo  ita a pagina</t>
  </si>
  <si>
    <t>costo ITA pagine in più</t>
  </si>
  <si>
    <t>costo  EN a pagina</t>
  </si>
  <si>
    <t>costo  EN PAGINE AGGIUNTIVE</t>
  </si>
  <si>
    <t>costo  FR PAGINE AGGIUNTIVE</t>
  </si>
  <si>
    <t>costo  ES PAGINE AGGIUNTIVE</t>
  </si>
  <si>
    <t>costo DE PAGINE AGGIUNTIVE</t>
  </si>
  <si>
    <t>costo  RO PAGINE AGGIUNTIVE</t>
  </si>
  <si>
    <t>costo  TU PAGINE AGGIUNTIVE</t>
  </si>
  <si>
    <t>TOTALE AGGIUNTIVO</t>
  </si>
  <si>
    <t>CONSUNTIVO AL 2-5-2024</t>
  </si>
  <si>
    <t>1,5 GIORNATE *200</t>
  </si>
  <si>
    <r>
      <t>Localizzazione in 6 lingue NH</t>
    </r>
    <r>
      <rPr>
        <b/>
        <sz val="11"/>
        <rFont val="Arial"/>
        <family val="2"/>
      </rPr>
      <t xml:space="preserve"> (3 GIORNATE X EURO 188,00 X 6 lingue)</t>
    </r>
  </si>
  <si>
    <t>TOTALE CORSO 3 INSTALLATION NH in 7 LINGUE</t>
  </si>
  <si>
    <r>
      <t xml:space="preserve">CORSO 3 INSTALLATION NH </t>
    </r>
    <r>
      <rPr>
        <b/>
        <sz val="11"/>
        <rFont val="Arial"/>
        <family val="2"/>
      </rPr>
      <t>(3 GIORNATE X EURO 188,00)</t>
    </r>
  </si>
  <si>
    <r>
      <t>Localizzazione in 6 lingue</t>
    </r>
    <r>
      <rPr>
        <b/>
        <sz val="11"/>
        <rFont val="Arial"/>
        <family val="2"/>
      </rPr>
      <t xml:space="preserve"> (3 GIORNATE X EURO 188,00 X 6 lingue)</t>
    </r>
  </si>
  <si>
    <t>TOTALE CORSO 4 BUILDING NH  in 7 LINGUE</t>
  </si>
  <si>
    <r>
      <t xml:space="preserve">CORSO 6 MOBILITY NH </t>
    </r>
    <r>
      <rPr>
        <b/>
        <sz val="11"/>
        <rFont val="Arial"/>
        <family val="2"/>
      </rPr>
      <t>(3 GIORNATE X EURO 188,00)</t>
    </r>
  </si>
  <si>
    <r>
      <t>Localizzazione in 6 lingue</t>
    </r>
    <r>
      <rPr>
        <b/>
        <sz val="11"/>
        <rFont val="Arial"/>
        <family val="2"/>
      </rPr>
      <t xml:space="preserve"> (70 pagine ognuno Euro 250,00 X 6 lingue)</t>
    </r>
  </si>
  <si>
    <r>
      <t xml:space="preserve">Localizzazione in  lingua en </t>
    </r>
    <r>
      <rPr>
        <b/>
        <sz val="11"/>
        <rFont val="Arial"/>
        <family val="2"/>
      </rPr>
      <t xml:space="preserve"> (3 GIORNATE X EURO 188,00 X 1 lingua)</t>
    </r>
  </si>
  <si>
    <t>lingue</t>
  </si>
  <si>
    <t>CONSUNTIVO SVILUPPO 4 CORSI NH IN 7 LINGUE</t>
  </si>
  <si>
    <t>TOTALE CORSO 6 MOBILITY NH in 2 LINGUE</t>
  </si>
  <si>
    <t>dettaglio</t>
  </si>
  <si>
    <t xml:space="preserve">TOTALE </t>
  </si>
  <si>
    <t>A PAGINA XLF</t>
  </si>
  <si>
    <t>ì</t>
  </si>
  <si>
    <t>TOTALE CORSO 7 ENERGY NH in 1 LINGUA</t>
  </si>
  <si>
    <r>
      <t xml:space="preserve">CORSO 7 ENERGY NH </t>
    </r>
    <r>
      <rPr>
        <b/>
        <sz val="11"/>
        <rFont val="Arial"/>
        <family val="2"/>
      </rPr>
      <t xml:space="preserve"> (3 GIORNATE X EURO 188,00) </t>
    </r>
  </si>
  <si>
    <t>Localizzazione  da ricevere</t>
  </si>
  <si>
    <t xml:space="preserve">TOTALE CORSO 2 ILLUMINOTECNICA Mod 2 </t>
  </si>
  <si>
    <t>TOTALE CORSO 3 INSTALLATION</t>
  </si>
  <si>
    <t xml:space="preserve">TOTALE CORSO 4 BUILDING  </t>
  </si>
  <si>
    <t>TOTALE CORSO 5 LIGHTING</t>
  </si>
  <si>
    <r>
      <t xml:space="preserve">CORSO 4 BUILDING NH </t>
    </r>
    <r>
      <rPr>
        <b/>
        <sz val="11"/>
        <rFont val="Arial"/>
        <family val="2"/>
      </rPr>
      <t>(3 GIORNATE X EURO 188,00)</t>
    </r>
  </si>
  <si>
    <t>CONSUNTIVO CORSI NH RIDOTTI no</t>
  </si>
  <si>
    <t>CONTEGGIO PRODUZIONE POWERPOINT DI TUTTI I CORSI no</t>
  </si>
  <si>
    <t>CORSO 5 LIGHTING rifacimento ENG  (96 nuove pagine PAGINE X EURO 50,00)</t>
  </si>
  <si>
    <t xml:space="preserve">CORSO 7 ENERGY (142 PAGINE)  </t>
  </si>
  <si>
    <t>TOTALE CORSO 7 ENERGY</t>
  </si>
  <si>
    <t xml:space="preserve">CORSO 2 ILLUMINOTECNICA Mod 1 e 2 (203 PAGINE)  </t>
  </si>
  <si>
    <t xml:space="preserve">CORSO 3 INSTALLATION (199 PAGINE)  </t>
  </si>
  <si>
    <t xml:space="preserve">CORSO 4 BUILDING (175 PAGINE)  </t>
  </si>
  <si>
    <t xml:space="preserve">CORSO 5 LIGHTING  (290 PAGINE)  </t>
  </si>
  <si>
    <t>Localizzazione da ppt in 4 lingue UK e FR- ES- CHILE (16 GIORNATE X EURO 188,00)</t>
  </si>
  <si>
    <t>Localizzazione da ppt versioni completa e NH in  lingua DE  (4 GIORNATE X EURO 188,00)</t>
  </si>
  <si>
    <t>Localizzazione da ppt versioni completa e NH in  lingua RO  (4 GIORNATE X EURO 188,00)</t>
  </si>
  <si>
    <t xml:space="preserve">TOTALE CORSO 6 MOBILITY </t>
  </si>
  <si>
    <t xml:space="preserve">CONSUNTIVO VARIAZIONI CORSI </t>
  </si>
  <si>
    <t>CORSO 2 ILLUMINOTECNICA  mod 1 VARIAZIONI UK-FR-SPA-CHILE- DE
(15 GIORNATE X EURO 188,00)</t>
  </si>
  <si>
    <t>CORSO 3 INSTALLATION  VARIAZIONI UK-FR-SPA-CHILE- DE
(15 GIORNATE X EURO 188,00)</t>
  </si>
  <si>
    <t>CORSO 4 BUILDING VARIAZIONI UK-FR-SPA-CHILE
(12 GIORNATE X EURO 188,00)</t>
  </si>
  <si>
    <t>CORSO 6 MOBILITY rifacimento ENG  (96 nuove pagine PAGINE X EURO 50,00)</t>
  </si>
  <si>
    <t>CORSO 2 ILLUMINOTECNICA mod 2  VARIAZIONI UK-FR-SPA-CHILE -DE
(15 GIORNATE X EURO 188,00)</t>
  </si>
  <si>
    <t>Variazioni in lungua IT (4 GIORNATE X EURO 188,00)</t>
  </si>
  <si>
    <t xml:space="preserve">CORSO 6 MOBILITY  (186 PAGINE)  </t>
  </si>
  <si>
    <t>CORSO 5 LIGHTING VARIAZIONI ENG (4 GIORNATE X EURO 188,00)</t>
  </si>
  <si>
    <t>CORSO 6 MOBILITY VARIAZIONI ENG (4 GIORNATE X EURO 188,00)</t>
  </si>
  <si>
    <t xml:space="preserve">VARIAZIONI CORSI NH RIDOTTI in UK-FR-SPA-CHILE-DE-RO (27 GIORNATE X EURO 188,00) </t>
  </si>
  <si>
    <t xml:space="preserve">SCONTO VARIAZIONI CORSI </t>
  </si>
  <si>
    <t>TOTALE VARIAZIONI CORSI NH</t>
  </si>
  <si>
    <t>Beinasco 04.11.2024</t>
  </si>
  <si>
    <t>copre 20000,00 per prima parte
12000,00 x variazioni</t>
  </si>
  <si>
    <t>Preventivo per variazioni corsi GW ACADEMY Technical Skills Catalogue - Mario Lange al 04/11/2024</t>
  </si>
  <si>
    <t xml:space="preserve">PREVENTIVO VARIAZIONI CORSI DA MODIFICARE SULLA BASE DI FILE PPT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</si>
</sst>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9"/>
      <name val="Geneva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i/>
      <sz val="12"/>
      <color indexed="10"/>
      <name val="Arial"/>
      <family val="2"/>
    </font>
    <font>
      <b/>
      <i/>
      <sz val="11"/>
      <color indexed="10"/>
      <name val="Arial"/>
      <family val="2"/>
    </font>
    <font>
      <sz val="11"/>
      <color indexed="17"/>
      <name val="Arial"/>
      <family val="2"/>
    </font>
    <font>
      <b/>
      <sz val="12"/>
      <color indexed="10"/>
      <name val="Arial"/>
      <family val="2"/>
    </font>
    <font>
      <sz val="8"/>
      <name val="Geneva"/>
      <family val="2"/>
    </font>
    <font>
      <b/>
      <i/>
      <sz val="11"/>
      <name val="Arial"/>
      <family val="2"/>
    </font>
    <font>
      <b/>
      <sz val="14"/>
      <name val="Arial"/>
      <family val="2"/>
    </font>
    <font>
      <sz val="14"/>
      <name val="Geneva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color rgb="FFFF0000"/>
      <name val="Geneva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2" borderId="0" xfId="0" applyFont="1" applyFill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2" fontId="1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2" fontId="9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2" fontId="1" fillId="0" borderId="0" xfId="0" applyNumberFormat="1" applyFont="1"/>
    <xf numFmtId="0" fontId="11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" fontId="8" fillId="3" borderId="1" xfId="0" applyNumberFormat="1" applyFont="1" applyFill="1" applyBorder="1"/>
    <xf numFmtId="2" fontId="1" fillId="3" borderId="0" xfId="0" applyNumberFormat="1" applyFont="1" applyFill="1"/>
    <xf numFmtId="0" fontId="7" fillId="3" borderId="0" xfId="0" applyFont="1" applyFill="1"/>
    <xf numFmtId="4" fontId="13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2" fillId="0" borderId="0" xfId="0" applyFont="1" applyAlignment="1">
      <alignment horizontal="right"/>
    </xf>
    <xf numFmtId="0" fontId="1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4" fontId="16" fillId="0" borderId="0" xfId="0" applyNumberFormat="1" applyFont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2" fontId="17" fillId="0" borderId="0" xfId="0" applyNumberFormat="1" applyFont="1" applyAlignment="1">
      <alignment vertical="center"/>
    </xf>
    <xf numFmtId="0" fontId="16" fillId="4" borderId="0" xfId="0" applyFont="1" applyFill="1" applyAlignment="1">
      <alignment horizontal="left" vertical="center" wrapText="1"/>
    </xf>
    <xf numFmtId="4" fontId="16" fillId="4" borderId="0" xfId="0" applyNumberFormat="1" applyFont="1" applyFill="1" applyAlignment="1">
      <alignment horizontal="right" vertical="center"/>
    </xf>
    <xf numFmtId="2" fontId="16" fillId="4" borderId="0" xfId="0" applyNumberFormat="1" applyFont="1" applyFill="1" applyAlignment="1">
      <alignment horizontal="right" vertical="center"/>
    </xf>
    <xf numFmtId="0" fontId="17" fillId="4" borderId="0" xfId="0" applyFont="1" applyFill="1" applyAlignment="1">
      <alignment vertical="center"/>
    </xf>
    <xf numFmtId="2" fontId="17" fillId="4" borderId="0" xfId="0" applyNumberFormat="1" applyFont="1" applyFill="1" applyAlignment="1">
      <alignment vertical="center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right" vertical="center" wrapText="1"/>
    </xf>
    <xf numFmtId="2" fontId="16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2" fontId="17" fillId="0" borderId="0" xfId="0" applyNumberFormat="1" applyFont="1" applyAlignment="1">
      <alignment vertical="center" wrapText="1"/>
    </xf>
    <xf numFmtId="4" fontId="19" fillId="0" borderId="0" xfId="0" applyNumberFormat="1" applyFont="1" applyAlignment="1">
      <alignment horizontal="right" vertical="center"/>
    </xf>
    <xf numFmtId="0" fontId="1" fillId="4" borderId="0" xfId="0" applyFont="1" applyFill="1" applyAlignment="1">
      <alignment horizontal="right"/>
    </xf>
    <xf numFmtId="0" fontId="1" fillId="4" borderId="0" xfId="0" applyFont="1" applyFill="1"/>
    <xf numFmtId="0" fontId="0" fillId="0" borderId="0" xfId="0" applyAlignment="1">
      <alignment vertical="center"/>
    </xf>
    <xf numFmtId="4" fontId="8" fillId="3" borderId="0" xfId="0" applyNumberFormat="1" applyFont="1" applyFill="1"/>
    <xf numFmtId="0" fontId="2" fillId="2" borderId="0" xfId="0" applyFont="1" applyFill="1" applyAlignment="1">
      <alignment horizontal="right"/>
    </xf>
    <xf numFmtId="0" fontId="6" fillId="0" borderId="1" xfId="0" applyFont="1" applyBorder="1" applyAlignment="1">
      <alignment horizontal="left"/>
    </xf>
    <xf numFmtId="4" fontId="8" fillId="0" borderId="1" xfId="0" applyNumberFormat="1" applyFont="1" applyBorder="1"/>
    <xf numFmtId="4" fontId="8" fillId="0" borderId="0" xfId="0" applyNumberFormat="1" applyFont="1"/>
    <xf numFmtId="0" fontId="7" fillId="0" borderId="0" xfId="0" applyFont="1"/>
    <xf numFmtId="0" fontId="20" fillId="3" borderId="0" xfId="0" applyFont="1" applyFill="1" applyAlignment="1">
      <alignment wrapText="1"/>
    </xf>
    <xf numFmtId="0" fontId="14" fillId="2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5" fillId="0" borderId="2" xfId="0" applyFont="1" applyBorder="1"/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ipFPX applÄRstrnπ{gripFPixthnr">
    <pageSetUpPr fitToPage="1"/>
  </sheetPr>
  <dimension ref="A1:O132"/>
  <sheetViews>
    <sheetView tabSelected="1" zoomScale="72" zoomScaleNormal="72" workbookViewId="0">
      <selection activeCell="F4" sqref="F4"/>
    </sheetView>
  </sheetViews>
  <sheetFormatPr defaultColWidth="10.85546875" defaultRowHeight="14.25"/>
  <cols>
    <col min="1" max="1" width="110" style="1" customWidth="1"/>
    <col min="2" max="2" width="15.42578125" style="1" customWidth="1"/>
    <col min="3" max="3" width="19.7109375" style="1" customWidth="1"/>
    <col min="4" max="4" width="53.28515625" style="1" customWidth="1"/>
    <col min="5" max="5" width="16" style="2" customWidth="1"/>
    <col min="6" max="6" width="43.5703125" style="2" customWidth="1"/>
    <col min="7" max="7" width="31.5703125" style="2" customWidth="1"/>
    <col min="8" max="8" width="22.28515625" style="2" customWidth="1"/>
    <col min="9" max="9" width="10.140625" style="2" customWidth="1"/>
    <col min="10" max="10" width="12.42578125" style="2" customWidth="1"/>
    <col min="11" max="16384" width="10.85546875" style="2"/>
  </cols>
  <sheetData>
    <row r="1" spans="1:15" ht="38.1" customHeight="1">
      <c r="A1" s="8" t="s">
        <v>7</v>
      </c>
      <c r="B1" s="10"/>
      <c r="C1" s="10"/>
      <c r="D1" s="10"/>
      <c r="E1" s="10"/>
      <c r="F1" s="10"/>
    </row>
    <row r="2" spans="1:15" ht="94.5" customHeight="1">
      <c r="A2" s="9" t="s">
        <v>11</v>
      </c>
      <c r="B2" s="4"/>
      <c r="C2" s="5" t="s">
        <v>94</v>
      </c>
      <c r="D2" s="5"/>
      <c r="E2" s="5"/>
      <c r="F2" s="5"/>
      <c r="G2" s="2">
        <f>63*20%</f>
        <v>12.600000000000001</v>
      </c>
      <c r="H2" s="16" t="e">
        <f>#REF!+13</f>
        <v>#REF!</v>
      </c>
    </row>
    <row r="3" spans="1:15" ht="12" customHeight="1">
      <c r="A3" s="9"/>
      <c r="B3" s="4"/>
      <c r="C3" s="4"/>
      <c r="D3" s="4"/>
      <c r="E3" s="5"/>
      <c r="F3" s="5"/>
    </row>
    <row r="4" spans="1:15" s="3" customFormat="1" ht="32.1" customHeight="1">
      <c r="A4" s="64" t="s">
        <v>96</v>
      </c>
      <c r="B4" s="65"/>
      <c r="C4" s="66"/>
      <c r="D4" s="63" t="s">
        <v>95</v>
      </c>
      <c r="E4" s="2"/>
      <c r="F4" s="2"/>
      <c r="G4" s="6" t="s">
        <v>0</v>
      </c>
      <c r="H4" s="6" t="s">
        <v>58</v>
      </c>
      <c r="I4" s="6" t="s">
        <v>2</v>
      </c>
      <c r="J4" s="6" t="s">
        <v>4</v>
      </c>
      <c r="K4" s="6" t="s">
        <v>6</v>
      </c>
      <c r="L4" s="6" t="s">
        <v>3</v>
      </c>
      <c r="M4" s="6" t="s">
        <v>5</v>
      </c>
    </row>
    <row r="5" spans="1:15" s="7" customFormat="1" ht="9" customHeight="1">
      <c r="A5" s="17"/>
      <c r="B5" s="15"/>
      <c r="C5" s="22"/>
      <c r="D5" s="22"/>
      <c r="E5" s="23"/>
      <c r="F5" s="23"/>
      <c r="G5" s="23"/>
      <c r="J5" s="11"/>
      <c r="L5" s="7" t="s">
        <v>8</v>
      </c>
      <c r="O5" s="7" t="s">
        <v>9</v>
      </c>
    </row>
    <row r="6" spans="1:15" s="7" customFormat="1" ht="150" hidden="1" customHeight="1">
      <c r="A6" s="67" t="s">
        <v>16</v>
      </c>
      <c r="B6" s="68"/>
      <c r="C6" s="68"/>
      <c r="D6" s="56"/>
      <c r="E6" s="24"/>
      <c r="F6" s="24"/>
      <c r="G6" s="7">
        <f>41+57+34</f>
        <v>132</v>
      </c>
      <c r="H6" s="7" t="s">
        <v>10</v>
      </c>
      <c r="K6" s="7" t="e">
        <f>H6*200</f>
        <v>#VALUE!</v>
      </c>
      <c r="L6" s="7" t="e">
        <f>K6+J6</f>
        <v>#VALUE!</v>
      </c>
      <c r="M6" s="7" t="e">
        <f>L6/200</f>
        <v>#VALUE!</v>
      </c>
    </row>
    <row r="7" spans="1:15" s="7" customFormat="1" ht="134.25" hidden="1" customHeight="1">
      <c r="A7" s="67" t="s">
        <v>19</v>
      </c>
      <c r="B7" s="68"/>
      <c r="C7" s="68"/>
      <c r="D7" s="56"/>
      <c r="E7" s="24"/>
      <c r="F7" s="24"/>
      <c r="G7" s="7">
        <f>41+57+34</f>
        <v>132</v>
      </c>
      <c r="H7" s="7" t="s">
        <v>10</v>
      </c>
      <c r="K7" s="7" t="e">
        <f>H7*200</f>
        <v>#VALUE!</v>
      </c>
      <c r="L7" s="7" t="e">
        <f>K7+J7</f>
        <v>#VALUE!</v>
      </c>
      <c r="M7" s="7" t="e">
        <f>L7/200</f>
        <v>#VALUE!</v>
      </c>
    </row>
    <row r="8" spans="1:15" s="7" customFormat="1" ht="92.25" hidden="1" customHeight="1">
      <c r="A8" s="67" t="s">
        <v>12</v>
      </c>
      <c r="B8" s="68"/>
      <c r="C8" s="68"/>
      <c r="D8" s="56"/>
      <c r="E8" s="24"/>
      <c r="F8" s="24"/>
      <c r="G8" s="7">
        <f>41+57+34</f>
        <v>132</v>
      </c>
      <c r="H8" s="7" t="s">
        <v>10</v>
      </c>
      <c r="K8" s="7" t="e">
        <f>H8*200</f>
        <v>#VALUE!</v>
      </c>
      <c r="L8" s="7" t="e">
        <f>K8+J8</f>
        <v>#VALUE!</v>
      </c>
      <c r="M8" s="7" t="e">
        <f>L8/200</f>
        <v>#VALUE!</v>
      </c>
    </row>
    <row r="9" spans="1:15" s="7" customFormat="1" ht="9" customHeight="1">
      <c r="A9" s="42"/>
      <c r="B9" s="15"/>
      <c r="C9" s="53"/>
      <c r="D9" s="53"/>
      <c r="E9" s="12"/>
      <c r="F9" s="12"/>
      <c r="I9" s="11"/>
      <c r="J9" s="11"/>
    </row>
    <row r="10" spans="1:15" s="47" customFormat="1" ht="36" customHeight="1">
      <c r="A10" s="43" t="s">
        <v>97</v>
      </c>
      <c r="B10" s="44"/>
      <c r="C10" s="45">
        <f>C49</f>
        <v>32160</v>
      </c>
      <c r="D10" s="45"/>
      <c r="E10" s="46"/>
      <c r="F10" s="46"/>
      <c r="G10" s="31" t="s">
        <v>51</v>
      </c>
      <c r="H10" s="15">
        <f>250*6</f>
        <v>1500</v>
      </c>
      <c r="I10" s="48"/>
      <c r="J10" s="48"/>
    </row>
    <row r="11" spans="1:15" s="47" customFormat="1" ht="36" customHeight="1">
      <c r="A11" s="43" t="s">
        <v>92</v>
      </c>
      <c r="B11" s="44"/>
      <c r="C11" s="45">
        <v>-160</v>
      </c>
      <c r="D11" s="45"/>
      <c r="E11" s="46"/>
      <c r="F11" s="46"/>
      <c r="G11" s="31" t="s">
        <v>51</v>
      </c>
      <c r="H11" s="15">
        <f>250*6</f>
        <v>1500</v>
      </c>
      <c r="I11" s="48"/>
      <c r="J11" s="48"/>
    </row>
    <row r="12" spans="1:15" s="21" customFormat="1" ht="24" customHeight="1" thickBot="1">
      <c r="A12" s="18" t="s">
        <v>57</v>
      </c>
      <c r="B12" s="19"/>
      <c r="C12" s="19">
        <f>C10+C11</f>
        <v>32000</v>
      </c>
      <c r="D12" s="57">
        <v>32000</v>
      </c>
      <c r="E12" s="20"/>
      <c r="F12" s="20"/>
      <c r="G12" s="20"/>
      <c r="H12" s="20"/>
    </row>
    <row r="13" spans="1:15" s="51" customFormat="1" ht="19.5" customHeight="1" thickTop="1">
      <c r="A13" s="43"/>
      <c r="B13" s="49"/>
      <c r="C13" s="49"/>
      <c r="D13" s="49"/>
      <c r="E13" s="50"/>
      <c r="F13" s="50"/>
      <c r="I13" s="52"/>
      <c r="J13" s="52"/>
    </row>
    <row r="14" spans="1:15" s="35" customFormat="1" ht="36" customHeight="1">
      <c r="A14" s="42" t="s">
        <v>56</v>
      </c>
      <c r="B14" s="33"/>
      <c r="C14" s="33"/>
      <c r="D14" s="33"/>
      <c r="E14" s="34"/>
      <c r="F14" s="34"/>
      <c r="I14" s="36"/>
      <c r="J14" s="36"/>
    </row>
    <row r="15" spans="1:15" s="7" customFormat="1" ht="19.5" customHeight="1">
      <c r="A15" s="26" t="s">
        <v>73</v>
      </c>
      <c r="B15" s="15"/>
      <c r="C15" s="15"/>
      <c r="D15" s="15"/>
      <c r="E15" s="13">
        <f>109+94</f>
        <v>203</v>
      </c>
      <c r="F15" s="13"/>
      <c r="G15" s="7">
        <v>208</v>
      </c>
      <c r="H15" s="14">
        <f>E15*G15</f>
        <v>42224</v>
      </c>
      <c r="J15" s="7">
        <f t="shared" ref="J15" si="0">I15*H15</f>
        <v>0</v>
      </c>
      <c r="L15" s="7">
        <v>20</v>
      </c>
    </row>
    <row r="16" spans="1:15" s="7" customFormat="1" ht="34.9" customHeight="1">
      <c r="A16" s="9" t="s">
        <v>82</v>
      </c>
      <c r="B16" s="15">
        <f>15*188</f>
        <v>2820</v>
      </c>
      <c r="C16" s="15"/>
      <c r="D16" s="15"/>
      <c r="E16" s="13"/>
      <c r="F16" s="13"/>
      <c r="G16" s="7">
        <v>20</v>
      </c>
      <c r="H16" s="14">
        <v>188</v>
      </c>
      <c r="I16" s="7">
        <f>G16*H16</f>
        <v>3760</v>
      </c>
      <c r="L16" s="7">
        <v>20</v>
      </c>
    </row>
    <row r="17" spans="1:12" ht="7.5" customHeight="1"/>
    <row r="18" spans="1:12" s="7" customFormat="1" ht="36.6" customHeight="1">
      <c r="A18" s="9" t="s">
        <v>86</v>
      </c>
      <c r="B18" s="15">
        <f>15*188</f>
        <v>2820</v>
      </c>
      <c r="C18" s="15"/>
      <c r="D18" s="15"/>
      <c r="E18" s="13"/>
      <c r="F18" s="13"/>
      <c r="G18" s="7">
        <v>94</v>
      </c>
      <c r="H18" s="14">
        <v>50</v>
      </c>
      <c r="L18" s="7">
        <v>20</v>
      </c>
    </row>
    <row r="19" spans="1:12" s="21" customFormat="1" ht="24" customHeight="1" thickBot="1">
      <c r="A19" s="18" t="s">
        <v>63</v>
      </c>
      <c r="B19" s="19"/>
      <c r="C19" s="19">
        <f>SUM(B16:B18)</f>
        <v>5640</v>
      </c>
      <c r="D19" s="57"/>
      <c r="E19" s="20"/>
      <c r="F19" s="20"/>
      <c r="G19" s="20"/>
      <c r="H19" s="20"/>
    </row>
    <row r="20" spans="1:12" ht="19.5" customHeight="1" thickTop="1"/>
    <row r="21" spans="1:12" s="7" customFormat="1" ht="19.5" customHeight="1">
      <c r="A21" s="26" t="s">
        <v>74</v>
      </c>
      <c r="B21" s="15"/>
      <c r="C21" s="15"/>
      <c r="D21" s="15"/>
      <c r="E21" s="13">
        <v>199</v>
      </c>
      <c r="F21" s="13"/>
      <c r="G21" s="7">
        <v>208</v>
      </c>
      <c r="H21" s="14">
        <f>E21*G21</f>
        <v>41392</v>
      </c>
      <c r="J21" s="7">
        <f t="shared" ref="J21" si="1">I21*H21</f>
        <v>0</v>
      </c>
      <c r="L21" s="7">
        <v>20</v>
      </c>
    </row>
    <row r="22" spans="1:12" s="7" customFormat="1" ht="42" customHeight="1">
      <c r="A22" s="9" t="s">
        <v>83</v>
      </c>
      <c r="B22" s="15">
        <f>15*188</f>
        <v>2820</v>
      </c>
      <c r="C22" s="15"/>
      <c r="D22" s="15"/>
      <c r="E22" s="13"/>
      <c r="F22" s="13"/>
      <c r="G22" s="7">
        <v>216</v>
      </c>
      <c r="H22" s="14">
        <v>50</v>
      </c>
      <c r="L22" s="7">
        <v>20</v>
      </c>
    </row>
    <row r="23" spans="1:12" s="21" customFormat="1" ht="24" customHeight="1" thickBot="1">
      <c r="A23" s="18" t="s">
        <v>64</v>
      </c>
      <c r="B23" s="19"/>
      <c r="C23" s="19">
        <f>B22</f>
        <v>2820</v>
      </c>
      <c r="D23" s="57"/>
      <c r="E23" s="20"/>
      <c r="F23" s="20"/>
      <c r="G23" s="20"/>
      <c r="H23" s="20"/>
    </row>
    <row r="24" spans="1:12" ht="15.75" customHeight="1" thickTop="1"/>
    <row r="25" spans="1:12" s="7" customFormat="1" ht="19.5" customHeight="1">
      <c r="A25" s="26" t="s">
        <v>75</v>
      </c>
      <c r="B25" s="15"/>
      <c r="C25" s="15"/>
      <c r="D25" s="15"/>
      <c r="E25" s="13">
        <v>175</v>
      </c>
      <c r="F25" s="13"/>
      <c r="G25" s="7">
        <v>208</v>
      </c>
      <c r="H25" s="14">
        <f>E25*G25</f>
        <v>36400</v>
      </c>
      <c r="J25" s="7">
        <f t="shared" ref="J25" si="2">I25*H25</f>
        <v>0</v>
      </c>
      <c r="L25" s="7">
        <v>20</v>
      </c>
    </row>
    <row r="26" spans="1:12" s="7" customFormat="1" ht="36" customHeight="1">
      <c r="A26" s="9" t="s">
        <v>84</v>
      </c>
      <c r="B26" s="15">
        <f>12*188</f>
        <v>2256</v>
      </c>
      <c r="C26" s="15"/>
      <c r="D26" s="15"/>
      <c r="E26" s="13"/>
      <c r="F26" s="13"/>
      <c r="G26" s="7">
        <v>186</v>
      </c>
      <c r="H26" s="14">
        <v>50</v>
      </c>
      <c r="I26" s="7" t="s">
        <v>59</v>
      </c>
      <c r="L26" s="7">
        <v>20</v>
      </c>
    </row>
    <row r="27" spans="1:12" s="21" customFormat="1" ht="24" customHeight="1" thickBot="1">
      <c r="A27" s="18" t="s">
        <v>65</v>
      </c>
      <c r="B27" s="19"/>
      <c r="C27" s="19">
        <f>B26</f>
        <v>2256</v>
      </c>
      <c r="D27" s="57"/>
      <c r="E27" s="20"/>
      <c r="F27" s="20"/>
      <c r="G27" s="20"/>
      <c r="H27" s="20"/>
    </row>
    <row r="28" spans="1:12" ht="18" customHeight="1" thickTop="1">
      <c r="A28" s="26"/>
    </row>
    <row r="29" spans="1:12" s="7" customFormat="1" ht="19.5" customHeight="1">
      <c r="A29" s="26" t="s">
        <v>76</v>
      </c>
      <c r="B29" s="15"/>
      <c r="C29" s="15"/>
      <c r="D29" s="15"/>
      <c r="E29" s="13">
        <v>290</v>
      </c>
      <c r="F29" s="13"/>
      <c r="G29" s="7">
        <v>208</v>
      </c>
      <c r="H29" s="14">
        <f>E29*G29</f>
        <v>60320</v>
      </c>
      <c r="J29" s="7">
        <f t="shared" ref="J29" si="3">I29*H29</f>
        <v>0</v>
      </c>
      <c r="L29" s="7">
        <v>20</v>
      </c>
    </row>
    <row r="30" spans="1:12" s="7" customFormat="1" ht="27.75" customHeight="1">
      <c r="A30" s="9" t="s">
        <v>70</v>
      </c>
      <c r="B30" s="15">
        <f>96*50</f>
        <v>4800</v>
      </c>
      <c r="C30" s="15"/>
      <c r="D30" s="15"/>
      <c r="E30" s="13"/>
      <c r="F30" s="13"/>
      <c r="G30" s="7">
        <f>289-194</f>
        <v>95</v>
      </c>
      <c r="H30" s="14">
        <v>50</v>
      </c>
      <c r="J30" s="7">
        <f t="shared" ref="J30" si="4">I30*H30</f>
        <v>0</v>
      </c>
      <c r="L30" s="7">
        <v>20</v>
      </c>
    </row>
    <row r="31" spans="1:12" s="7" customFormat="1" ht="27" customHeight="1">
      <c r="A31" s="9" t="s">
        <v>89</v>
      </c>
      <c r="B31" s="15">
        <f>188*4</f>
        <v>752</v>
      </c>
      <c r="C31" s="15"/>
      <c r="D31" s="15"/>
      <c r="E31" s="13"/>
      <c r="F31" s="13"/>
      <c r="G31" s="7">
        <f>289-194</f>
        <v>95</v>
      </c>
      <c r="H31" s="14">
        <v>50</v>
      </c>
      <c r="J31" s="7">
        <f t="shared" ref="J31" si="5">I31*H31</f>
        <v>0</v>
      </c>
      <c r="L31" s="7">
        <v>20</v>
      </c>
    </row>
    <row r="32" spans="1:12" s="21" customFormat="1" ht="24" customHeight="1" thickBot="1">
      <c r="A32" s="18" t="s">
        <v>66</v>
      </c>
      <c r="B32" s="19"/>
      <c r="C32" s="19">
        <f>SUM(B30:B31)</f>
        <v>5552</v>
      </c>
      <c r="D32" s="57"/>
      <c r="E32" s="20"/>
      <c r="F32" s="20"/>
      <c r="G32" s="20"/>
      <c r="H32" s="20"/>
    </row>
    <row r="33" spans="1:12" ht="16.149999999999999" customHeight="1" thickTop="1"/>
    <row r="34" spans="1:12" s="7" customFormat="1" ht="19.5" customHeight="1">
      <c r="A34" s="26" t="s">
        <v>71</v>
      </c>
      <c r="B34" s="15"/>
      <c r="C34" s="15"/>
      <c r="D34" s="15"/>
      <c r="E34" s="13">
        <v>142</v>
      </c>
      <c r="F34" s="13"/>
      <c r="G34" s="7">
        <v>208</v>
      </c>
      <c r="H34" s="14">
        <f>E34*G34</f>
        <v>29536</v>
      </c>
      <c r="J34" s="7">
        <f t="shared" ref="J34" si="6">I34*H34</f>
        <v>0</v>
      </c>
      <c r="L34" s="7">
        <v>20</v>
      </c>
    </row>
    <row r="35" spans="1:12" s="7" customFormat="1" ht="26.25" customHeight="1">
      <c r="A35" s="9" t="s">
        <v>87</v>
      </c>
      <c r="B35" s="15">
        <f>4*188</f>
        <v>752</v>
      </c>
      <c r="C35" s="15"/>
      <c r="D35" s="15"/>
      <c r="E35" s="13"/>
      <c r="F35" s="13"/>
      <c r="G35" s="7">
        <v>186</v>
      </c>
      <c r="H35" s="14">
        <v>50</v>
      </c>
      <c r="I35" s="7" t="s">
        <v>59</v>
      </c>
      <c r="L35" s="7">
        <v>20</v>
      </c>
    </row>
    <row r="36" spans="1:12" s="7" customFormat="1" ht="24" customHeight="1">
      <c r="A36" s="9" t="s">
        <v>77</v>
      </c>
      <c r="B36" s="15">
        <f>188*16</f>
        <v>3008</v>
      </c>
      <c r="C36" s="15"/>
      <c r="D36" s="15"/>
      <c r="E36" s="13"/>
      <c r="F36" s="13"/>
      <c r="G36" s="7">
        <v>185</v>
      </c>
      <c r="H36" s="14">
        <v>11</v>
      </c>
      <c r="I36" s="7">
        <f>G36*H36</f>
        <v>2035</v>
      </c>
      <c r="J36" s="7" t="s">
        <v>44</v>
      </c>
      <c r="K36" s="7">
        <f>1.5*200</f>
        <v>300</v>
      </c>
    </row>
    <row r="37" spans="1:12" s="7" customFormat="1" ht="24" customHeight="1">
      <c r="A37" s="9" t="s">
        <v>78</v>
      </c>
      <c r="B37" s="15">
        <f>188*4</f>
        <v>752</v>
      </c>
      <c r="C37" s="15"/>
      <c r="D37" s="15"/>
      <c r="E37" s="13"/>
      <c r="F37" s="13"/>
      <c r="G37" s="7">
        <v>185</v>
      </c>
      <c r="H37" s="14">
        <v>11</v>
      </c>
      <c r="I37" s="7">
        <f>G37*H37</f>
        <v>2035</v>
      </c>
      <c r="J37" s="7" t="s">
        <v>44</v>
      </c>
      <c r="K37" s="7">
        <f>1.5*200</f>
        <v>300</v>
      </c>
    </row>
    <row r="38" spans="1:12" s="7" customFormat="1" ht="24" customHeight="1">
      <c r="A38" s="9" t="s">
        <v>79</v>
      </c>
      <c r="B38" s="15">
        <f>188*4</f>
        <v>752</v>
      </c>
      <c r="C38" s="15"/>
      <c r="D38" s="15"/>
      <c r="E38" s="13"/>
      <c r="F38" s="13"/>
      <c r="G38" s="7">
        <v>185</v>
      </c>
      <c r="H38" s="14">
        <v>11</v>
      </c>
      <c r="I38" s="7">
        <f>G38*H38</f>
        <v>2035</v>
      </c>
      <c r="J38" s="7" t="s">
        <v>44</v>
      </c>
      <c r="K38" s="7">
        <f>1.5*200</f>
        <v>300</v>
      </c>
    </row>
    <row r="39" spans="1:12" s="21" customFormat="1" ht="24" customHeight="1" thickBot="1">
      <c r="A39" s="18" t="s">
        <v>72</v>
      </c>
      <c r="B39" s="19"/>
      <c r="C39" s="19">
        <f>SUM(B35:B38)</f>
        <v>5264</v>
      </c>
      <c r="D39" s="57"/>
      <c r="E39" s="20"/>
      <c r="F39" s="20"/>
      <c r="G39" s="20"/>
      <c r="H39" s="20"/>
    </row>
    <row r="40" spans="1:12" ht="18" customHeight="1" thickTop="1"/>
    <row r="41" spans="1:12" s="7" customFormat="1" ht="19.5" customHeight="1">
      <c r="A41" s="26" t="s">
        <v>88</v>
      </c>
      <c r="B41" s="15"/>
      <c r="C41" s="15"/>
      <c r="D41" s="15"/>
      <c r="E41" s="13">
        <v>186</v>
      </c>
      <c r="F41" s="13"/>
      <c r="G41" s="7">
        <v>208</v>
      </c>
      <c r="H41" s="14">
        <f>E41*G41</f>
        <v>38688</v>
      </c>
      <c r="J41" s="7">
        <f t="shared" ref="J41:J43" si="7">I41*H41</f>
        <v>0</v>
      </c>
      <c r="L41" s="7">
        <v>20</v>
      </c>
    </row>
    <row r="42" spans="1:12" s="7" customFormat="1" ht="22.5" customHeight="1">
      <c r="A42" s="9" t="s">
        <v>85</v>
      </c>
      <c r="B42" s="15">
        <f>96*50</f>
        <v>4800</v>
      </c>
      <c r="C42" s="15"/>
      <c r="D42" s="15"/>
      <c r="E42" s="13"/>
      <c r="F42" s="13"/>
      <c r="G42" s="7">
        <f>289-194</f>
        <v>95</v>
      </c>
      <c r="H42" s="14">
        <v>50</v>
      </c>
      <c r="J42" s="7">
        <f t="shared" si="7"/>
        <v>0</v>
      </c>
      <c r="L42" s="7">
        <v>20</v>
      </c>
    </row>
    <row r="43" spans="1:12" s="7" customFormat="1" ht="19.5" customHeight="1">
      <c r="A43" s="9" t="s">
        <v>90</v>
      </c>
      <c r="B43" s="15">
        <f>188*4</f>
        <v>752</v>
      </c>
      <c r="C43" s="15"/>
      <c r="D43" s="15"/>
      <c r="E43" s="13"/>
      <c r="F43" s="13"/>
      <c r="G43" s="7">
        <f>289-194</f>
        <v>95</v>
      </c>
      <c r="H43" s="14">
        <v>50</v>
      </c>
      <c r="J43" s="7">
        <f t="shared" si="7"/>
        <v>0</v>
      </c>
      <c r="L43" s="7">
        <v>20</v>
      </c>
    </row>
    <row r="44" spans="1:12" s="21" customFormat="1" ht="24" customHeight="1" thickBot="1">
      <c r="A44" s="18" t="s">
        <v>80</v>
      </c>
      <c r="B44" s="19"/>
      <c r="C44" s="19">
        <f>SUM(B42:B43)</f>
        <v>5552</v>
      </c>
      <c r="D44" s="57"/>
      <c r="E44" s="20"/>
      <c r="F44" s="20"/>
      <c r="G44" s="20"/>
      <c r="H44" s="20"/>
    </row>
    <row r="45" spans="1:12" ht="14.25" customHeight="1" thickTop="1"/>
    <row r="46" spans="1:12" s="7" customFormat="1" ht="31.5" customHeight="1">
      <c r="A46" s="9" t="s">
        <v>91</v>
      </c>
      <c r="B46" s="15">
        <f>188*27</f>
        <v>5076</v>
      </c>
      <c r="C46" s="15"/>
      <c r="D46" s="15"/>
      <c r="E46" s="13"/>
      <c r="F46" s="13"/>
      <c r="G46" s="7">
        <f>129-70</f>
        <v>59</v>
      </c>
      <c r="H46" s="14">
        <v>90</v>
      </c>
      <c r="I46" s="7">
        <v>75</v>
      </c>
      <c r="J46" s="7">
        <f t="shared" ref="J46" si="8">I46*H46</f>
        <v>6750</v>
      </c>
      <c r="L46" s="7">
        <v>20</v>
      </c>
    </row>
    <row r="47" spans="1:12" s="21" customFormat="1" ht="24" customHeight="1" thickBot="1">
      <c r="A47" s="18" t="s">
        <v>93</v>
      </c>
      <c r="B47" s="19"/>
      <c r="C47" s="19">
        <f>B46</f>
        <v>5076</v>
      </c>
      <c r="D47" s="57"/>
      <c r="E47" s="20"/>
      <c r="F47" s="20"/>
      <c r="G47" s="20"/>
      <c r="H47" s="20"/>
    </row>
    <row r="48" spans="1:12" s="62" customFormat="1" ht="24" customHeight="1" thickTop="1" thickBot="1">
      <c r="A48" s="59"/>
      <c r="B48" s="60"/>
      <c r="C48" s="60"/>
      <c r="D48" s="61"/>
      <c r="E48" s="16"/>
      <c r="F48" s="16"/>
      <c r="G48" s="16"/>
      <c r="H48" s="16"/>
    </row>
    <row r="49" spans="1:12" s="21" customFormat="1" ht="24" customHeight="1" thickTop="1" thickBot="1">
      <c r="A49" s="18" t="s">
        <v>81</v>
      </c>
      <c r="B49" s="19"/>
      <c r="C49" s="19">
        <f>SUM(C17:C48)</f>
        <v>32160</v>
      </c>
      <c r="D49" s="57">
        <f>32000-C49</f>
        <v>-160</v>
      </c>
      <c r="E49" s="20">
        <f>D49/188</f>
        <v>-0.85106382978723405</v>
      </c>
      <c r="F49" s="20"/>
      <c r="G49" s="20" t="e">
        <f>#REF!+G16+G18+G22+G26+G30+#REF!+G34</f>
        <v>#REF!</v>
      </c>
      <c r="H49" s="20"/>
    </row>
    <row r="50" spans="1:12" s="35" customFormat="1" ht="17.25" customHeight="1" thickTop="1">
      <c r="A50" s="32"/>
      <c r="B50" s="33"/>
      <c r="C50" s="33"/>
      <c r="D50" s="33"/>
      <c r="E50" s="34"/>
      <c r="F50" s="34"/>
      <c r="H50" s="35">
        <v>10</v>
      </c>
      <c r="I50" s="36">
        <v>200</v>
      </c>
      <c r="J50" s="36">
        <f t="shared" ref="J50" si="9">I50*H50</f>
        <v>2000</v>
      </c>
      <c r="K50" s="35">
        <f>J50/200</f>
        <v>10</v>
      </c>
    </row>
    <row r="51" spans="1:12" ht="172.5" customHeight="1"/>
    <row r="52" spans="1:12" s="40" customFormat="1" ht="7.5" customHeight="1">
      <c r="A52" s="37"/>
      <c r="B52" s="38"/>
      <c r="C52" s="38"/>
      <c r="D52" s="38"/>
      <c r="E52" s="39"/>
      <c r="F52" s="39"/>
      <c r="I52" s="41"/>
      <c r="J52" s="41"/>
    </row>
    <row r="53" spans="1:12" s="40" customFormat="1" ht="7.5" customHeight="1">
      <c r="A53" s="37"/>
      <c r="B53" s="38"/>
      <c r="C53" s="38"/>
      <c r="D53" s="38"/>
      <c r="E53" s="39"/>
      <c r="F53" s="39"/>
      <c r="I53" s="41"/>
      <c r="J53" s="41"/>
    </row>
    <row r="54" spans="1:12" s="35" customFormat="1" ht="36" customHeight="1">
      <c r="A54" s="42" t="s">
        <v>68</v>
      </c>
      <c r="B54" s="33"/>
      <c r="C54" s="33"/>
      <c r="D54" s="33"/>
      <c r="E54" s="34"/>
      <c r="F54" s="34"/>
      <c r="H54" s="35">
        <v>10</v>
      </c>
      <c r="I54" s="36">
        <v>200</v>
      </c>
      <c r="J54" s="36">
        <f t="shared" ref="J54:J55" si="10">I54*H54</f>
        <v>2000</v>
      </c>
      <c r="K54" s="35">
        <f>J54/200</f>
        <v>10</v>
      </c>
    </row>
    <row r="55" spans="1:12" s="7" customFormat="1" ht="19.5" customHeight="1">
      <c r="A55" s="9" t="s">
        <v>47</v>
      </c>
      <c r="B55" s="15">
        <f>188*3</f>
        <v>564</v>
      </c>
      <c r="C55" s="15"/>
      <c r="D55" s="15"/>
      <c r="E55" s="13"/>
      <c r="F55" s="13"/>
      <c r="G55" s="7">
        <f>129-70</f>
        <v>59</v>
      </c>
      <c r="H55" s="14">
        <v>90</v>
      </c>
      <c r="I55" s="7">
        <v>75</v>
      </c>
      <c r="J55" s="7">
        <f t="shared" si="10"/>
        <v>6750</v>
      </c>
      <c r="L55" s="7">
        <v>20</v>
      </c>
    </row>
    <row r="56" spans="1:12" s="7" customFormat="1" ht="24" customHeight="1">
      <c r="A56" s="9" t="s">
        <v>48</v>
      </c>
      <c r="B56" s="15">
        <f>3*188*6</f>
        <v>3384</v>
      </c>
      <c r="C56" s="15"/>
      <c r="D56" s="15"/>
      <c r="E56" s="13">
        <f>1500/6</f>
        <v>250</v>
      </c>
      <c r="F56" s="13"/>
      <c r="G56" s="7">
        <f>250/70</f>
        <v>3.5714285714285716</v>
      </c>
      <c r="H56" s="14">
        <f>G56*216</f>
        <v>771.42857142857144</v>
      </c>
      <c r="I56" s="7">
        <f>H56/200</f>
        <v>3.8571428571428572</v>
      </c>
      <c r="J56" s="7" t="s">
        <v>44</v>
      </c>
      <c r="K56" s="7">
        <f>1.5*200</f>
        <v>300</v>
      </c>
    </row>
    <row r="57" spans="1:12" s="21" customFormat="1" ht="24" customHeight="1" thickBot="1">
      <c r="A57" s="18" t="s">
        <v>46</v>
      </c>
      <c r="B57" s="19"/>
      <c r="C57" s="19">
        <f>B55+B56</f>
        <v>3948</v>
      </c>
      <c r="D57" s="57"/>
      <c r="E57" s="20"/>
      <c r="F57" s="20"/>
      <c r="G57" s="20"/>
      <c r="H57" s="20"/>
    </row>
    <row r="58" spans="1:12" ht="15" thickTop="1"/>
    <row r="59" spans="1:12" s="7" customFormat="1" ht="19.5" customHeight="1">
      <c r="A59" s="9" t="s">
        <v>67</v>
      </c>
      <c r="B59" s="15">
        <f>188*3</f>
        <v>564</v>
      </c>
      <c r="C59" s="15"/>
      <c r="D59" s="15"/>
      <c r="E59" s="13"/>
      <c r="F59" s="13"/>
      <c r="G59" s="7">
        <f>129-70</f>
        <v>59</v>
      </c>
      <c r="H59" s="14">
        <v>90</v>
      </c>
      <c r="I59" s="7">
        <v>75</v>
      </c>
      <c r="J59" s="7">
        <f t="shared" ref="J59" si="11">I59*H59</f>
        <v>6750</v>
      </c>
      <c r="L59" s="7">
        <v>20</v>
      </c>
    </row>
    <row r="60" spans="1:12" s="7" customFormat="1" ht="24" customHeight="1">
      <c r="A60" s="9" t="s">
        <v>45</v>
      </c>
      <c r="B60" s="15">
        <f>3*188*6</f>
        <v>3384</v>
      </c>
      <c r="C60" s="15"/>
      <c r="D60" s="15"/>
      <c r="E60" s="13">
        <f>1500/6</f>
        <v>250</v>
      </c>
      <c r="F60" s="13"/>
      <c r="G60" s="7">
        <f>250/70</f>
        <v>3.5714285714285716</v>
      </c>
      <c r="H60" s="14">
        <f>G60*186</f>
        <v>664.28571428571433</v>
      </c>
      <c r="I60" s="7">
        <f>H60/200</f>
        <v>3.3214285714285716</v>
      </c>
      <c r="J60" s="7" t="s">
        <v>44</v>
      </c>
      <c r="K60" s="7">
        <f>1.5*200</f>
        <v>300</v>
      </c>
    </row>
    <row r="61" spans="1:12" s="21" customFormat="1" ht="24" customHeight="1" thickBot="1">
      <c r="A61" s="18" t="s">
        <v>49</v>
      </c>
      <c r="B61" s="19"/>
      <c r="C61" s="19">
        <f>B59+B60</f>
        <v>3948</v>
      </c>
      <c r="D61" s="57"/>
      <c r="E61" s="20"/>
      <c r="F61" s="20"/>
      <c r="G61" s="20"/>
      <c r="H61" s="20"/>
    </row>
    <row r="62" spans="1:12" ht="15" thickTop="1"/>
    <row r="63" spans="1:12" s="7" customFormat="1" ht="19.5" customHeight="1">
      <c r="A63" s="9" t="s">
        <v>50</v>
      </c>
      <c r="B63" s="15">
        <f>188*3</f>
        <v>564</v>
      </c>
      <c r="C63" s="15"/>
      <c r="D63" s="15"/>
      <c r="E63" s="13"/>
      <c r="F63" s="13"/>
      <c r="G63" s="7">
        <f>129-70</f>
        <v>59</v>
      </c>
      <c r="H63" s="14">
        <v>90</v>
      </c>
      <c r="I63" s="7">
        <v>75</v>
      </c>
      <c r="J63" s="7">
        <f t="shared" ref="J63" si="12">I63*H63</f>
        <v>6750</v>
      </c>
      <c r="L63" s="7">
        <v>20</v>
      </c>
    </row>
    <row r="64" spans="1:12" s="7" customFormat="1" ht="24" customHeight="1">
      <c r="A64" s="9" t="s">
        <v>52</v>
      </c>
      <c r="B64" s="15">
        <f>3*188*1</f>
        <v>564</v>
      </c>
      <c r="C64" s="15"/>
      <c r="D64" s="15"/>
      <c r="E64" s="13">
        <f>1500/6</f>
        <v>250</v>
      </c>
      <c r="F64" s="13"/>
      <c r="G64" s="7">
        <f>250/70</f>
        <v>3.5714285714285716</v>
      </c>
      <c r="H64" s="14">
        <f>G64*183</f>
        <v>653.57142857142856</v>
      </c>
      <c r="I64" s="7">
        <f>H64/200</f>
        <v>3.2678571428571428</v>
      </c>
      <c r="J64" s="7" t="s">
        <v>44</v>
      </c>
      <c r="K64" s="7">
        <f>1.5*200</f>
        <v>300</v>
      </c>
    </row>
    <row r="65" spans="1:12" s="21" customFormat="1" ht="24" customHeight="1" thickBot="1">
      <c r="A65" s="18" t="s">
        <v>55</v>
      </c>
      <c r="B65" s="19"/>
      <c r="C65" s="19">
        <f>B63+B64</f>
        <v>1128</v>
      </c>
      <c r="D65" s="57"/>
      <c r="E65" s="20"/>
      <c r="F65" s="20"/>
      <c r="G65" s="20"/>
      <c r="H65" s="20"/>
    </row>
    <row r="66" spans="1:12" ht="15" thickTop="1"/>
    <row r="67" spans="1:12" s="7" customFormat="1" ht="19.5" customHeight="1">
      <c r="A67" s="9" t="s">
        <v>61</v>
      </c>
      <c r="B67" s="15">
        <f>188*3</f>
        <v>564</v>
      </c>
      <c r="C67" s="15"/>
      <c r="D67" s="15"/>
      <c r="E67" s="13"/>
      <c r="F67" s="13"/>
      <c r="G67" s="7">
        <f>129-70</f>
        <v>59</v>
      </c>
      <c r="H67" s="14">
        <v>90</v>
      </c>
      <c r="I67" s="7">
        <v>75</v>
      </c>
      <c r="J67" s="7">
        <f t="shared" ref="J67" si="13">I67*H67</f>
        <v>6750</v>
      </c>
      <c r="L67" s="7">
        <v>20</v>
      </c>
    </row>
    <row r="68" spans="1:12" s="7" customFormat="1" ht="24" customHeight="1">
      <c r="A68" s="9" t="s">
        <v>62</v>
      </c>
      <c r="B68" s="15">
        <v>0</v>
      </c>
      <c r="C68" s="15"/>
      <c r="D68" s="15"/>
      <c r="E68" s="13">
        <f>1500/6</f>
        <v>250</v>
      </c>
      <c r="F68" s="13"/>
      <c r="G68" s="7">
        <f>250/70</f>
        <v>3.5714285714285716</v>
      </c>
      <c r="H68" s="14">
        <f>G68*183</f>
        <v>653.57142857142856</v>
      </c>
      <c r="I68" s="7">
        <f>H68/200</f>
        <v>3.2678571428571428</v>
      </c>
      <c r="J68" s="7" t="s">
        <v>44</v>
      </c>
      <c r="K68" s="7">
        <f>1.5*200</f>
        <v>300</v>
      </c>
    </row>
    <row r="69" spans="1:12" s="21" customFormat="1" ht="24" customHeight="1" thickBot="1">
      <c r="A69" s="18" t="s">
        <v>60</v>
      </c>
      <c r="B69" s="19"/>
      <c r="C69" s="19">
        <f>B67+B68</f>
        <v>564</v>
      </c>
      <c r="D69" s="57"/>
      <c r="E69" s="20"/>
      <c r="F69" s="20"/>
      <c r="G69" s="20"/>
      <c r="H69" s="20"/>
    </row>
    <row r="70" spans="1:12" ht="15" thickTop="1"/>
    <row r="71" spans="1:12" s="21" customFormat="1" ht="24" customHeight="1" thickBot="1">
      <c r="A71" s="18" t="s">
        <v>54</v>
      </c>
      <c r="B71" s="19"/>
      <c r="C71" s="19">
        <f>SUM(C57:C70)</f>
        <v>9588</v>
      </c>
      <c r="D71" s="57"/>
      <c r="E71" s="20"/>
      <c r="F71" s="20"/>
      <c r="G71" s="20"/>
      <c r="H71" s="20"/>
    </row>
    <row r="72" spans="1:12" ht="15" thickTop="1"/>
    <row r="73" spans="1:12" s="55" customFormat="1" ht="7.5" customHeight="1">
      <c r="A73" s="54"/>
      <c r="B73" s="54"/>
      <c r="C73" s="54"/>
      <c r="D73" s="54"/>
    </row>
    <row r="74" spans="1:12" s="35" customFormat="1" ht="36" customHeight="1">
      <c r="A74" s="42" t="s">
        <v>69</v>
      </c>
      <c r="B74" s="33"/>
      <c r="C74" s="33"/>
      <c r="D74" s="33"/>
      <c r="E74" s="34"/>
      <c r="F74" s="34"/>
      <c r="G74" s="35" t="s">
        <v>22</v>
      </c>
      <c r="H74" s="35" t="s">
        <v>53</v>
      </c>
      <c r="I74" s="36">
        <v>200</v>
      </c>
      <c r="J74" s="36" t="e">
        <f t="shared" ref="J74" si="14">I74*H74</f>
        <v>#VALUE!</v>
      </c>
      <c r="K74" s="35" t="e">
        <f>J74/200</f>
        <v>#VALUE!</v>
      </c>
    </row>
    <row r="84" spans="1:8">
      <c r="A84" s="1" t="s">
        <v>21</v>
      </c>
      <c r="B84" s="1">
        <v>3000</v>
      </c>
      <c r="C84" s="1">
        <v>70</v>
      </c>
      <c r="E84" s="2">
        <v>7</v>
      </c>
      <c r="G84" s="2">
        <f>B84*C84</f>
        <v>210000</v>
      </c>
      <c r="H84" s="2">
        <f>G84*7</f>
        <v>1470000</v>
      </c>
    </row>
    <row r="86" spans="1:8">
      <c r="A86" s="1" t="s">
        <v>31</v>
      </c>
    </row>
    <row r="87" spans="1:8">
      <c r="A87" s="1" t="s">
        <v>33</v>
      </c>
      <c r="B87" s="1">
        <f>3500/70</f>
        <v>50</v>
      </c>
    </row>
    <row r="88" spans="1:8" ht="15">
      <c r="B88" s="1" t="s">
        <v>22</v>
      </c>
      <c r="C88" s="1" t="s">
        <v>23</v>
      </c>
      <c r="E88" s="1" t="s">
        <v>32</v>
      </c>
      <c r="F88" s="1"/>
      <c r="G88" s="30" t="s">
        <v>34</v>
      </c>
    </row>
    <row r="89" spans="1:8">
      <c r="A89" s="27" t="s">
        <v>24</v>
      </c>
      <c r="B89" s="1">
        <v>129</v>
      </c>
      <c r="C89" s="1">
        <v>72</v>
      </c>
      <c r="E89" s="2">
        <f t="shared" ref="E89:E95" si="15">B89-70</f>
        <v>59</v>
      </c>
      <c r="G89" s="2">
        <f>E89*50</f>
        <v>2950</v>
      </c>
    </row>
    <row r="90" spans="1:8">
      <c r="A90" s="27" t="s">
        <v>25</v>
      </c>
      <c r="B90" s="1">
        <v>110</v>
      </c>
      <c r="C90" s="1">
        <v>35</v>
      </c>
      <c r="E90" s="2">
        <f t="shared" si="15"/>
        <v>40</v>
      </c>
      <c r="G90" s="2">
        <f t="shared" ref="G90:G95" si="16">E90*50</f>
        <v>2000</v>
      </c>
    </row>
    <row r="91" spans="1:8">
      <c r="A91" s="27" t="s">
        <v>26</v>
      </c>
      <c r="B91" s="1">
        <v>94</v>
      </c>
      <c r="C91" s="1">
        <v>38</v>
      </c>
      <c r="E91" s="2">
        <f t="shared" si="15"/>
        <v>24</v>
      </c>
      <c r="G91" s="2">
        <f t="shared" si="16"/>
        <v>1200</v>
      </c>
    </row>
    <row r="92" spans="1:8">
      <c r="A92" s="27" t="s">
        <v>28</v>
      </c>
      <c r="B92" s="1">
        <v>216</v>
      </c>
      <c r="C92" s="1">
        <v>11</v>
      </c>
      <c r="E92" s="2">
        <f t="shared" si="15"/>
        <v>146</v>
      </c>
      <c r="G92" s="2">
        <f t="shared" si="16"/>
        <v>7300</v>
      </c>
    </row>
    <row r="93" spans="1:8">
      <c r="A93" s="27" t="s">
        <v>27</v>
      </c>
      <c r="B93" s="1">
        <v>186</v>
      </c>
      <c r="C93" s="1">
        <v>73</v>
      </c>
      <c r="E93" s="2">
        <f t="shared" si="15"/>
        <v>116</v>
      </c>
      <c r="G93" s="2">
        <f t="shared" si="16"/>
        <v>5800</v>
      </c>
    </row>
    <row r="94" spans="1:8">
      <c r="A94" s="27" t="s">
        <v>29</v>
      </c>
      <c r="B94" s="1">
        <v>194</v>
      </c>
      <c r="C94" s="1">
        <v>9</v>
      </c>
      <c r="E94" s="2">
        <f t="shared" si="15"/>
        <v>124</v>
      </c>
      <c r="G94" s="2">
        <f t="shared" si="16"/>
        <v>6200</v>
      </c>
    </row>
    <row r="95" spans="1:8">
      <c r="A95" s="27" t="s">
        <v>30</v>
      </c>
      <c r="B95" s="1">
        <v>183</v>
      </c>
      <c r="C95" s="1">
        <v>14</v>
      </c>
      <c r="E95" s="2">
        <f t="shared" si="15"/>
        <v>113</v>
      </c>
      <c r="G95" s="2">
        <f t="shared" si="16"/>
        <v>5650</v>
      </c>
    </row>
    <row r="96" spans="1:8">
      <c r="A96" s="27"/>
    </row>
    <row r="97" spans="1:7">
      <c r="B97" s="28"/>
      <c r="C97" s="28"/>
      <c r="D97" s="28"/>
      <c r="E97" s="29"/>
      <c r="F97" s="29"/>
      <c r="G97" s="29"/>
    </row>
    <row r="99" spans="1:7" ht="15.75" thickBot="1">
      <c r="B99" s="1">
        <f>SUM(B89:B98)</f>
        <v>1112</v>
      </c>
      <c r="E99" s="2">
        <f>SUM(E89:E98)</f>
        <v>622</v>
      </c>
      <c r="G99" s="19">
        <f>SUM(G89:G98)</f>
        <v>31100</v>
      </c>
    </row>
    <row r="100" spans="1:7" ht="15" thickTop="1"/>
    <row r="102" spans="1:7">
      <c r="A102" s="1" t="s">
        <v>35</v>
      </c>
      <c r="B102" s="1">
        <f>250/70</f>
        <v>3.5714285714285716</v>
      </c>
    </row>
    <row r="103" spans="1:7">
      <c r="A103" s="1" t="s">
        <v>36</v>
      </c>
      <c r="B103" s="1">
        <f>3.5*619</f>
        <v>2166.5</v>
      </c>
      <c r="G103" s="1">
        <f t="shared" ref="G103:G108" si="17">3.5*619</f>
        <v>2166.5</v>
      </c>
    </row>
    <row r="104" spans="1:7">
      <c r="A104" s="1" t="s">
        <v>37</v>
      </c>
      <c r="B104" s="1">
        <f t="shared" ref="B104:B108" si="18">3.5*619</f>
        <v>2166.5</v>
      </c>
      <c r="G104" s="1">
        <f t="shared" si="17"/>
        <v>2166.5</v>
      </c>
    </row>
    <row r="105" spans="1:7">
      <c r="A105" s="1" t="s">
        <v>38</v>
      </c>
      <c r="B105" s="1">
        <f t="shared" si="18"/>
        <v>2166.5</v>
      </c>
      <c r="G105" s="1">
        <f t="shared" si="17"/>
        <v>2166.5</v>
      </c>
    </row>
    <row r="106" spans="1:7">
      <c r="A106" s="1" t="s">
        <v>39</v>
      </c>
      <c r="B106" s="1">
        <f t="shared" si="18"/>
        <v>2166.5</v>
      </c>
      <c r="G106" s="1">
        <f t="shared" si="17"/>
        <v>2166.5</v>
      </c>
    </row>
    <row r="107" spans="1:7">
      <c r="A107" s="1" t="s">
        <v>40</v>
      </c>
      <c r="B107" s="1">
        <f t="shared" si="18"/>
        <v>2166.5</v>
      </c>
      <c r="G107" s="1">
        <f t="shared" si="17"/>
        <v>2166.5</v>
      </c>
    </row>
    <row r="108" spans="1:7">
      <c r="A108" s="1" t="s">
        <v>41</v>
      </c>
      <c r="B108" s="1">
        <f t="shared" si="18"/>
        <v>2166.5</v>
      </c>
      <c r="G108" s="1">
        <f t="shared" si="17"/>
        <v>2166.5</v>
      </c>
    </row>
    <row r="110" spans="1:7">
      <c r="G110" s="29"/>
    </row>
    <row r="112" spans="1:7" ht="15.75" thickBot="1">
      <c r="G112" s="19">
        <f>SUM(G103:G111)</f>
        <v>12999</v>
      </c>
    </row>
    <row r="113" spans="1:15" ht="15" thickTop="1"/>
    <row r="114" spans="1:15" ht="15.75" thickBot="1">
      <c r="A114" s="1" t="s">
        <v>42</v>
      </c>
      <c r="G114" s="19">
        <f>G112+G99</f>
        <v>44099</v>
      </c>
    </row>
    <row r="115" spans="1:15" ht="15" thickTop="1"/>
    <row r="118" spans="1:15" s="3" customFormat="1" ht="32.1" customHeight="1">
      <c r="A118" s="64" t="s">
        <v>18</v>
      </c>
      <c r="B118" s="69"/>
      <c r="C118" s="25"/>
      <c r="D118" s="58"/>
      <c r="E118" s="2"/>
      <c r="F118" s="2"/>
      <c r="G118" s="6" t="s">
        <v>0</v>
      </c>
      <c r="H118" s="6" t="s">
        <v>1</v>
      </c>
      <c r="I118" s="6" t="s">
        <v>2</v>
      </c>
      <c r="J118" s="6" t="s">
        <v>4</v>
      </c>
      <c r="K118" s="6" t="s">
        <v>6</v>
      </c>
      <c r="L118" s="6" t="s">
        <v>3</v>
      </c>
      <c r="M118" s="6" t="s">
        <v>5</v>
      </c>
    </row>
    <row r="119" spans="1:15" s="7" customFormat="1" ht="9" customHeight="1">
      <c r="A119" s="17"/>
      <c r="B119" s="15"/>
      <c r="C119" s="22"/>
      <c r="D119" s="22"/>
      <c r="E119" s="23"/>
      <c r="F119" s="23"/>
      <c r="G119" s="23"/>
      <c r="J119" s="11"/>
      <c r="L119" s="7" t="s">
        <v>8</v>
      </c>
      <c r="O119" s="7" t="s">
        <v>9</v>
      </c>
    </row>
    <row r="120" spans="1:15" s="7" customFormat="1" ht="150" hidden="1" customHeight="1">
      <c r="A120" s="67" t="s">
        <v>16</v>
      </c>
      <c r="B120" s="68"/>
      <c r="C120" s="68"/>
      <c r="D120" s="56"/>
      <c r="E120" s="24"/>
      <c r="F120" s="24"/>
      <c r="G120" s="7">
        <f>41+57+34</f>
        <v>132</v>
      </c>
      <c r="H120" s="7" t="s">
        <v>10</v>
      </c>
      <c r="K120" s="7" t="e">
        <f>H120*200</f>
        <v>#VALUE!</v>
      </c>
      <c r="L120" s="7" t="e">
        <f>K120+J120</f>
        <v>#VALUE!</v>
      </c>
      <c r="M120" s="7" t="e">
        <f>L120/200</f>
        <v>#VALUE!</v>
      </c>
    </row>
    <row r="121" spans="1:15" s="7" customFormat="1" ht="134.25" hidden="1" customHeight="1">
      <c r="A121" s="67" t="s">
        <v>19</v>
      </c>
      <c r="B121" s="68"/>
      <c r="C121" s="68"/>
      <c r="D121" s="56"/>
      <c r="E121" s="24"/>
      <c r="F121" s="24"/>
      <c r="G121" s="7">
        <f>41+57+34</f>
        <v>132</v>
      </c>
      <c r="H121" s="7" t="s">
        <v>10</v>
      </c>
      <c r="K121" s="7" t="e">
        <f>H121*200</f>
        <v>#VALUE!</v>
      </c>
      <c r="L121" s="7" t="e">
        <f>K121+J121</f>
        <v>#VALUE!</v>
      </c>
      <c r="M121" s="7" t="e">
        <f>L121/200</f>
        <v>#VALUE!</v>
      </c>
    </row>
    <row r="122" spans="1:15" s="7" customFormat="1" ht="92.25" hidden="1" customHeight="1">
      <c r="A122" s="67" t="s">
        <v>12</v>
      </c>
      <c r="B122" s="68"/>
      <c r="C122" s="68"/>
      <c r="D122" s="56"/>
      <c r="E122" s="24"/>
      <c r="F122" s="24"/>
      <c r="G122" s="7">
        <f>41+57+34</f>
        <v>132</v>
      </c>
      <c r="H122" s="7" t="s">
        <v>10</v>
      </c>
      <c r="K122" s="7" t="e">
        <f>H122*200</f>
        <v>#VALUE!</v>
      </c>
      <c r="L122" s="7" t="e">
        <f>K122+J122</f>
        <v>#VALUE!</v>
      </c>
      <c r="M122" s="7" t="e">
        <f>L122/200</f>
        <v>#VALUE!</v>
      </c>
    </row>
    <row r="123" spans="1:15" s="7" customFormat="1" ht="36" customHeight="1">
      <c r="A123" s="26" t="s">
        <v>13</v>
      </c>
      <c r="B123" s="15"/>
      <c r="C123" s="15"/>
      <c r="D123" s="15"/>
      <c r="E123" s="12"/>
      <c r="F123" s="12"/>
      <c r="H123" s="7">
        <v>10</v>
      </c>
      <c r="I123" s="11">
        <v>200</v>
      </c>
      <c r="J123" s="11">
        <f t="shared" ref="J123:J125" si="19">I123*H123</f>
        <v>2000</v>
      </c>
      <c r="K123" s="7">
        <f>J123/200</f>
        <v>10</v>
      </c>
    </row>
    <row r="124" spans="1:15" s="7" customFormat="1" ht="19.5" customHeight="1">
      <c r="A124" s="9" t="s">
        <v>14</v>
      </c>
      <c r="B124" s="15">
        <f>70*50</f>
        <v>3500</v>
      </c>
      <c r="C124" s="15"/>
      <c r="D124" s="15"/>
      <c r="E124" s="13"/>
      <c r="F124" s="13"/>
      <c r="G124" s="7">
        <f>3500/70</f>
        <v>50</v>
      </c>
      <c r="H124" s="14">
        <v>90</v>
      </c>
      <c r="I124" s="7">
        <v>75</v>
      </c>
      <c r="J124" s="7">
        <f t="shared" si="19"/>
        <v>6750</v>
      </c>
      <c r="L124" s="7">
        <v>20</v>
      </c>
    </row>
    <row r="125" spans="1:15" s="7" customFormat="1" ht="24" customHeight="1">
      <c r="A125" s="9" t="s">
        <v>15</v>
      </c>
      <c r="B125" s="15">
        <f>250*6</f>
        <v>1500</v>
      </c>
      <c r="C125" s="15"/>
      <c r="D125" s="15"/>
      <c r="E125" s="13">
        <f>1500/6</f>
        <v>250</v>
      </c>
      <c r="F125" s="13"/>
      <c r="G125" s="7">
        <f>E125*8</f>
        <v>2000</v>
      </c>
      <c r="H125" s="14"/>
      <c r="I125" s="7">
        <v>75</v>
      </c>
      <c r="J125" s="7">
        <f t="shared" si="19"/>
        <v>0</v>
      </c>
      <c r="L125" s="7">
        <v>20</v>
      </c>
    </row>
    <row r="126" spans="1:15" s="21" customFormat="1" ht="24" customHeight="1" thickBot="1">
      <c r="A126" s="18" t="s">
        <v>17</v>
      </c>
      <c r="B126" s="19"/>
      <c r="C126" s="19">
        <f>B124+B125</f>
        <v>5000</v>
      </c>
      <c r="D126" s="57"/>
      <c r="E126" s="20"/>
      <c r="F126" s="20"/>
      <c r="G126" s="20"/>
      <c r="H126" s="20"/>
    </row>
    <row r="127" spans="1:15" s="7" customFormat="1" ht="15.75" customHeight="1" thickTop="1">
      <c r="A127" s="9"/>
      <c r="B127" s="15"/>
      <c r="C127" s="15"/>
      <c r="D127" s="15"/>
      <c r="E127" s="13"/>
      <c r="F127" s="13"/>
      <c r="H127" s="14"/>
    </row>
    <row r="128" spans="1:15" s="21" customFormat="1" ht="24" customHeight="1" thickBot="1">
      <c r="A128" s="18" t="s">
        <v>20</v>
      </c>
      <c r="B128" s="19"/>
      <c r="C128" s="19">
        <f>C126*8</f>
        <v>40000</v>
      </c>
      <c r="D128" s="57"/>
      <c r="E128" s="20"/>
      <c r="F128" s="20"/>
      <c r="G128" s="20"/>
      <c r="H128" s="20"/>
    </row>
    <row r="129" spans="1:8" ht="15" thickTop="1"/>
    <row r="131" spans="1:8" s="21" customFormat="1" ht="24" customHeight="1" thickBot="1">
      <c r="A131" s="18" t="s">
        <v>43</v>
      </c>
      <c r="B131" s="19"/>
      <c r="C131" s="19">
        <f>C129*8</f>
        <v>0</v>
      </c>
      <c r="D131" s="57"/>
      <c r="E131" s="20"/>
      <c r="F131" s="20"/>
      <c r="G131" s="20"/>
      <c r="H131" s="20"/>
    </row>
    <row r="132" spans="1:8" ht="15" thickTop="1"/>
  </sheetData>
  <mergeCells count="8">
    <mergeCell ref="A4:C4"/>
    <mergeCell ref="A120:C120"/>
    <mergeCell ref="A121:C121"/>
    <mergeCell ref="A122:C122"/>
    <mergeCell ref="A8:C8"/>
    <mergeCell ref="A6:C6"/>
    <mergeCell ref="A7:C7"/>
    <mergeCell ref="A118:B118"/>
  </mergeCells>
  <phoneticPr fontId="12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2"/>
  <sheetData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"/>
  <sheetData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Foglio1</vt:lpstr>
      <vt:lpstr>Foglio2</vt:lpstr>
      <vt:lpstr>Foglio3</vt:lpstr>
      <vt:lpstr>Foglio1!Area_stampa</vt:lpstr>
      <vt:lpstr>Foglio1!Print_Area</vt:lpstr>
    </vt:vector>
  </TitlesOfParts>
  <Company>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Patrizia Gariglio</cp:lastModifiedBy>
  <cp:lastPrinted>2024-10-04T08:57:15Z</cp:lastPrinted>
  <dcterms:created xsi:type="dcterms:W3CDTF">2001-04-07T14:32:34Z</dcterms:created>
  <dcterms:modified xsi:type="dcterms:W3CDTF">2024-11-07T09:22:41Z</dcterms:modified>
</cp:coreProperties>
</file>