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t\Documents\patportatile\maserati\OFFERTA\"/>
    </mc:Choice>
  </mc:AlternateContent>
  <xr:revisionPtr revIDLastSave="0" documentId="13_ncr:1_{4C196328-9600-46BE-8451-87E56EC19CFE}" xr6:coauthVersionLast="47" xr6:coauthVersionMax="47" xr10:uidLastSave="{00000000-0000-0000-0000-000000000000}"/>
  <bookViews>
    <workbookView xWindow="1260" yWindow="2532" windowWidth="18384" windowHeight="11148" xr2:uid="{4D891853-8E9A-4AFA-BCC1-01E2A68F9099}"/>
  </bookViews>
  <sheets>
    <sheet name="Variable cost exF+50%Transv" sheetId="3" r:id="rId1"/>
    <sheet name="Fixed cost exF+50% Transv" sheetId="7" r:id="rId2"/>
  </sheets>
  <definedNames>
    <definedName name="_xlnm.Print_Area" localSheetId="1">'Fixed cost exF+50% Transv'!$A$2:$G$27</definedName>
    <definedName name="_xlnm.Print_Area" localSheetId="0">'Variable cost exF+50%Transv'!$A$59:$P$74</definedName>
  </definedNames>
  <calcPr calcId="191029" calcMode="manual" iterate="1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6" i="7" l="1"/>
  <c r="E21" i="7"/>
  <c r="F21" i="7" s="1"/>
  <c r="G21" i="7" s="1"/>
  <c r="G15" i="7"/>
  <c r="E15" i="7"/>
  <c r="F15" i="7"/>
  <c r="E8" i="7"/>
  <c r="D15" i="7"/>
  <c r="H21" i="7" s="1"/>
  <c r="D8" i="7"/>
  <c r="F17" i="7"/>
  <c r="F18" i="7" s="1"/>
  <c r="E17" i="7"/>
  <c r="E46" i="7" l="1"/>
  <c r="E47" i="7" s="1"/>
  <c r="D46" i="7"/>
  <c r="D47" i="7" s="1"/>
  <c r="C45" i="7"/>
  <c r="F40" i="7"/>
  <c r="E39" i="7"/>
  <c r="D39" i="7"/>
  <c r="C39" i="7"/>
  <c r="E38" i="7"/>
  <c r="D38" i="7"/>
  <c r="C38" i="7"/>
  <c r="J37" i="7"/>
  <c r="I37" i="7"/>
  <c r="I36" i="7"/>
  <c r="E24" i="7"/>
  <c r="E27" i="7"/>
  <c r="F27" i="7"/>
  <c r="C16" i="7"/>
  <c r="D17" i="7"/>
  <c r="D18" i="7" s="1"/>
  <c r="D9" i="7"/>
  <c r="C9" i="7"/>
  <c r="C8" i="7"/>
  <c r="E9" i="7"/>
  <c r="I7" i="7"/>
  <c r="G17" i="7"/>
  <c r="J7" i="7"/>
  <c r="I6" i="7"/>
  <c r="F10" i="7"/>
  <c r="C51" i="7"/>
  <c r="J53" i="7"/>
  <c r="K53" i="7" s="1"/>
  <c r="H53" i="7"/>
  <c r="I53" i="7" s="1"/>
  <c r="E51" i="7"/>
  <c r="D51" i="7"/>
  <c r="R9" i="3"/>
  <c r="D15" i="3"/>
  <c r="D16" i="3" s="1"/>
  <c r="F15" i="3"/>
  <c r="F16" i="3" s="1"/>
  <c r="C9" i="3"/>
  <c r="J9" i="3"/>
  <c r="F55" i="7"/>
  <c r="E68" i="7"/>
  <c r="D68" i="7"/>
  <c r="H15" i="3"/>
  <c r="H16" i="3" s="1"/>
  <c r="C68" i="7"/>
  <c r="C69" i="7" s="1"/>
  <c r="E9" i="3"/>
  <c r="D9" i="3"/>
  <c r="F9" i="3"/>
  <c r="M15" i="3"/>
  <c r="M16" i="3" s="1"/>
  <c r="L15" i="3"/>
  <c r="L16" i="3" s="1"/>
  <c r="K15" i="3"/>
  <c r="K16" i="3" s="1"/>
  <c r="J15" i="3"/>
  <c r="J16" i="3" s="1"/>
  <c r="I15" i="3"/>
  <c r="I16" i="3" s="1"/>
  <c r="G15" i="3"/>
  <c r="G16" i="3" s="1"/>
  <c r="F24" i="7" l="1"/>
  <c r="G24" i="7"/>
  <c r="E18" i="7"/>
  <c r="G18" i="7"/>
  <c r="G27" i="7"/>
  <c r="O16" i="3"/>
  <c r="K9" i="3" l="1"/>
  <c r="I9" i="3"/>
  <c r="H9" i="3"/>
  <c r="G9" i="3"/>
  <c r="E73" i="7"/>
  <c r="E71" i="7"/>
  <c r="D73" i="7"/>
  <c r="D71" i="7"/>
  <c r="C73" i="7"/>
  <c r="C74" i="7" s="1"/>
  <c r="C71" i="7"/>
  <c r="C72" i="7" s="1"/>
  <c r="O57" i="7"/>
  <c r="K55" i="3"/>
  <c r="K56" i="3" s="1"/>
  <c r="J55" i="3"/>
  <c r="J56" i="3" s="1"/>
  <c r="F55" i="3"/>
  <c r="F56" i="3" s="1"/>
  <c r="M41" i="3"/>
  <c r="L41" i="3"/>
  <c r="K41" i="3"/>
  <c r="J41" i="3"/>
  <c r="I41" i="3"/>
  <c r="H41" i="3"/>
  <c r="G41" i="3"/>
  <c r="F41" i="3"/>
  <c r="D41" i="3"/>
  <c r="F34" i="3"/>
  <c r="D34" i="3"/>
  <c r="F53" i="3"/>
  <c r="F54" i="3" s="1"/>
  <c r="M34" i="3"/>
  <c r="L34" i="3"/>
  <c r="K34" i="3"/>
  <c r="J34" i="3"/>
  <c r="I34" i="3"/>
  <c r="H34" i="3"/>
  <c r="G34" i="3"/>
  <c r="F26" i="3"/>
  <c r="D26" i="3"/>
  <c r="M26" i="3"/>
  <c r="L26" i="3"/>
  <c r="K26" i="3"/>
  <c r="J26" i="3"/>
  <c r="I26" i="3"/>
  <c r="H26" i="3"/>
  <c r="G26" i="3"/>
  <c r="M51" i="3"/>
  <c r="M52" i="3" s="1"/>
  <c r="L51" i="3"/>
  <c r="L52" i="3" s="1"/>
  <c r="K51" i="3"/>
  <c r="K52" i="3" s="1"/>
  <c r="J51" i="3"/>
  <c r="J52" i="3" s="1"/>
  <c r="I51" i="3"/>
  <c r="I52" i="3" s="1"/>
  <c r="H51" i="3"/>
  <c r="H52" i="3" s="1"/>
  <c r="G51" i="3"/>
  <c r="G52" i="3" s="1"/>
  <c r="F51" i="3"/>
  <c r="F52" i="3" s="1"/>
  <c r="D51" i="3"/>
  <c r="D52" i="3" s="1"/>
  <c r="M55" i="3"/>
  <c r="M56" i="3" s="1"/>
  <c r="L55" i="3"/>
  <c r="L56" i="3" s="1"/>
  <c r="I55" i="3"/>
  <c r="I56" i="3" s="1"/>
  <c r="H55" i="3"/>
  <c r="H56" i="3" s="1"/>
  <c r="G55" i="3"/>
  <c r="G56" i="3" s="1"/>
  <c r="D55" i="3"/>
  <c r="D56" i="3" s="1"/>
  <c r="M53" i="3"/>
  <c r="M54" i="3" s="1"/>
  <c r="L53" i="3"/>
  <c r="L54" i="3" s="1"/>
  <c r="K53" i="3"/>
  <c r="K54" i="3" s="1"/>
  <c r="J53" i="3"/>
  <c r="J54" i="3" s="1"/>
  <c r="I53" i="3"/>
  <c r="I54" i="3" s="1"/>
  <c r="H53" i="3"/>
  <c r="H54" i="3" s="1"/>
  <c r="G53" i="3"/>
  <c r="G54" i="3" s="1"/>
  <c r="D53" i="3"/>
  <c r="D54" i="3" s="1"/>
  <c r="M66" i="3"/>
  <c r="L66" i="3"/>
  <c r="K66" i="3"/>
  <c r="J66" i="3"/>
  <c r="I66" i="3"/>
  <c r="H66" i="3"/>
  <c r="G66" i="3"/>
  <c r="F66" i="3"/>
  <c r="D66" i="3"/>
  <c r="M9" i="3" l="1"/>
  <c r="O41" i="3"/>
  <c r="O26" i="3"/>
  <c r="E72" i="7"/>
  <c r="E74" i="7"/>
  <c r="O34" i="3"/>
  <c r="D69" i="7"/>
  <c r="E69" i="7"/>
  <c r="D72" i="7"/>
  <c r="D74" i="7"/>
  <c r="O54" i="3"/>
  <c r="O52" i="3"/>
  <c r="O56" i="3"/>
  <c r="Q41" i="3" s="1"/>
  <c r="O66" i="3"/>
  <c r="D79" i="7"/>
  <c r="M49" i="3"/>
  <c r="L49" i="3"/>
  <c r="K49" i="3"/>
  <c r="J49" i="3"/>
  <c r="H49" i="3"/>
  <c r="G49" i="3"/>
  <c r="F49" i="3"/>
  <c r="D49" i="3"/>
  <c r="E79" i="7"/>
  <c r="F81" i="7" l="1"/>
  <c r="H74" i="7"/>
  <c r="H69" i="7"/>
  <c r="H72" i="7"/>
  <c r="O73" i="3"/>
  <c r="O74" i="3" s="1"/>
  <c r="O70" i="3"/>
  <c r="O71" i="3" s="1"/>
  <c r="O67" i="3"/>
  <c r="O68" i="3"/>
  <c r="F123" i="7"/>
  <c r="F107" i="7"/>
  <c r="E123" i="7"/>
  <c r="D123" i="7"/>
  <c r="C123" i="7"/>
  <c r="I116" i="7"/>
  <c r="I107" i="7"/>
  <c r="E107" i="7"/>
  <c r="G111" i="7" s="1"/>
  <c r="I49" i="3" l="1"/>
  <c r="O49" i="3" s="1"/>
  <c r="Q34" i="3" l="1"/>
  <c r="Q26" i="3"/>
</calcChain>
</file>

<file path=xl/sharedStrings.xml><?xml version="1.0" encoding="utf-8"?>
<sst xmlns="http://schemas.openxmlformats.org/spreadsheetml/2006/main" count="233" uniqueCount="79">
  <si>
    <t>AGENCY PRICING PER UNIT PROPOSAL</t>
  </si>
  <si>
    <t>WBT</t>
  </si>
  <si>
    <t>IBT</t>
  </si>
  <si>
    <t>F2F Test Out</t>
  </si>
  <si>
    <t>SALES VCT</t>
  </si>
  <si>
    <t>VCT Sales Follow-Up</t>
  </si>
  <si>
    <t>AS VCT</t>
  </si>
  <si>
    <t>Finance VCT</t>
  </si>
  <si>
    <t>Sales MEMENTO</t>
  </si>
  <si>
    <t>Handover MEMENTO</t>
  </si>
  <si>
    <t>TTT</t>
  </si>
  <si>
    <t>Brand Assessment</t>
  </si>
  <si>
    <t>Beedeez</t>
  </si>
  <si>
    <t>DLM 1</t>
  </si>
  <si>
    <t>DLM 2</t>
  </si>
  <si>
    <t>DLM 3</t>
  </si>
  <si>
    <t xml:space="preserve"> </t>
  </si>
  <si>
    <t>Job Title</t>
  </si>
  <si>
    <t xml:space="preserve">Customer Facing ( Yes / No) </t>
  </si>
  <si>
    <t xml:space="preserve">Full Time Equivalent % </t>
  </si>
  <si>
    <t xml:space="preserve">Total  Cost  Fixed </t>
  </si>
  <si>
    <t>If needed ; Variable Cost per day</t>
  </si>
  <si>
    <t xml:space="preserve">GLOBAL PROGRAM OFFICE </t>
  </si>
  <si>
    <t xml:space="preserve">SUPPORTING ROLES </t>
  </si>
  <si>
    <t>GOVERNANCE ACCOUNT MANAGER</t>
  </si>
  <si>
    <t>PROJECT MANAGER</t>
  </si>
  <si>
    <t>SALES SENIOR TRAINING SPECIALIST</t>
  </si>
  <si>
    <t>AGENCY INTERNAL EXPERT</t>
  </si>
  <si>
    <t>2025 Volume</t>
  </si>
  <si>
    <t>2025 TOTAL Price</t>
  </si>
  <si>
    <t>2025 50% Volume Transv</t>
  </si>
  <si>
    <t xml:space="preserve">Customer Facing ( Yes) </t>
  </si>
  <si>
    <t>PROJECT MANAGER included in deliverables</t>
  </si>
  <si>
    <t>total</t>
  </si>
  <si>
    <t xml:space="preserve">2 SENIOR PROJECT MANAGERS </t>
  </si>
  <si>
    <t>2 JUNIOR TRAINING SPECIALIST</t>
  </si>
  <si>
    <t>4 PROJECT MANAGERS (COORDINATORS)</t>
  </si>
  <si>
    <t>SUPPORTING ROLES Included in deliverables cost</t>
  </si>
  <si>
    <t xml:space="preserve">Customer Facing (Yes) </t>
  </si>
  <si>
    <t>yes</t>
  </si>
  <si>
    <t>3rd PARTY EXPERTS</t>
  </si>
  <si>
    <t>GLOBAL PROGRAM OFFICE 2</t>
  </si>
  <si>
    <t>CONSEGNA 3</t>
  </si>
  <si>
    <t>CONSEGNA 4</t>
  </si>
  <si>
    <t>sconto totale</t>
  </si>
  <si>
    <t>GLOBAL PROGRAM OFFICE 2 / 218 GIORNI</t>
  </si>
  <si>
    <t>ASSUNTI</t>
  </si>
  <si>
    <t>14 MENSILITà con contrib</t>
  </si>
  <si>
    <t>CONSEGNA 5</t>
  </si>
  <si>
    <t>xxx</t>
  </si>
  <si>
    <t>costo koine 14 mens lordo</t>
  </si>
  <si>
    <t>cost a risorsa offerta</t>
  </si>
  <si>
    <t>SOMMA GIORNI</t>
  </si>
  <si>
    <t>2 SENIOR PROJECT MANAGEMENT ACTIVITY  Ivan Regaldo</t>
  </si>
  <si>
    <t>2 JUNIOR TRAINING SPECIALIST MANAGEMENT ACTIVITY   Lavinia Miglietti hind</t>
  </si>
  <si>
    <t xml:space="preserve">GOVERNANCE ACCOUNT MANAGEMENT ACTIVITY  </t>
  </si>
  <si>
    <t>GLOBAL PROGRAM OFFICE 2 / 218 DAYS</t>
  </si>
  <si>
    <t>Any additional resources (not included in this bid) will be quoted on demand at 30% in più</t>
  </si>
  <si>
    <t>costo a persona</t>
  </si>
  <si>
    <t>Cost  per day (on the basis of 218 working days)</t>
  </si>
  <si>
    <t>GENNY ANNO  46000</t>
  </si>
  <si>
    <t>costo noi a persona 14 mensilità</t>
  </si>
  <si>
    <t>al SENIOR a mese lordo 65000</t>
  </si>
  <si>
    <t>RIMANENZA</t>
  </si>
  <si>
    <t>CONSEGNA 7</t>
  </si>
  <si>
    <t xml:space="preserve">1 SENIOR PROJECT MANAGEMENT ACTIVITY  </t>
  </si>
  <si>
    <t xml:space="preserve">1 JUNIOR TRAINING SPECIALIST MANAGEMENT ACTIVITY   Lavinia </t>
  </si>
  <si>
    <t xml:space="preserve">1 JUNIOR TRAINING SPECIALIST MANAGEMENT ACTIVITY   </t>
  </si>
  <si>
    <t>Lavinia</t>
  </si>
  <si>
    <t>costo buoni pasto</t>
  </si>
  <si>
    <t>al JUNIOR a mese lordo 50000 lavinia</t>
  </si>
  <si>
    <t>costo PC E TELEFONO</t>
  </si>
  <si>
    <t>COSTO PC E TELEFONO</t>
  </si>
  <si>
    <t>COSTO BUONI PASTO</t>
  </si>
  <si>
    <t>8 EURO</t>
  </si>
  <si>
    <t>410 ??</t>
  </si>
  <si>
    <t>8 EURO x 218 GIORNI= 1477 EURO</t>
  </si>
  <si>
    <t>2026 Volume</t>
  </si>
  <si>
    <t>2026-2027 TOTAL 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</si>
</sst>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trike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07">
    <xf numFmtId="0" fontId="0" fillId="0" borderId="0" xfId="0"/>
    <xf numFmtId="0" fontId="0" fillId="0" borderId="3" xfId="0" applyBorder="1"/>
    <xf numFmtId="0" fontId="0" fillId="0" borderId="8" xfId="0" applyBorder="1"/>
    <xf numFmtId="0" fontId="1" fillId="0" borderId="6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164" fontId="0" fillId="0" borderId="0" xfId="0" applyNumberFormat="1"/>
    <xf numFmtId="2" fontId="0" fillId="0" borderId="9" xfId="0" applyNumberFormat="1" applyBorder="1" applyAlignment="1">
      <alignment vertical="center"/>
    </xf>
    <xf numFmtId="2" fontId="0" fillId="0" borderId="0" xfId="0" applyNumberFormat="1" applyAlignment="1">
      <alignment vertical="center"/>
    </xf>
    <xf numFmtId="0" fontId="3" fillId="0" borderId="3" xfId="0" applyFont="1" applyBorder="1" applyAlignment="1">
      <alignment horizontal="center" wrapText="1"/>
    </xf>
    <xf numFmtId="0" fontId="1" fillId="0" borderId="10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0" fillId="0" borderId="12" xfId="0" applyBorder="1"/>
    <xf numFmtId="2" fontId="0" fillId="0" borderId="15" xfId="0" applyNumberFormat="1" applyBorder="1" applyAlignment="1">
      <alignment vertical="center"/>
    </xf>
    <xf numFmtId="0" fontId="0" fillId="0" borderId="16" xfId="0" applyBorder="1"/>
    <xf numFmtId="0" fontId="0" fillId="0" borderId="17" xfId="0" applyBorder="1"/>
    <xf numFmtId="2" fontId="1" fillId="0" borderId="19" xfId="0" applyNumberFormat="1" applyFont="1" applyBorder="1" applyAlignment="1">
      <alignment horizontal="center" vertical="center" wrapText="1"/>
    </xf>
    <xf numFmtId="0" fontId="0" fillId="0" borderId="20" xfId="0" applyBorder="1"/>
    <xf numFmtId="0" fontId="0" fillId="0" borderId="21" xfId="0" applyBorder="1"/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vertical="center"/>
    </xf>
    <xf numFmtId="0" fontId="0" fillId="0" borderId="22" xfId="0" applyBorder="1"/>
    <xf numFmtId="0" fontId="1" fillId="0" borderId="10" xfId="0" applyFont="1" applyBorder="1" applyAlignment="1">
      <alignment vertical="center"/>
    </xf>
    <xf numFmtId="0" fontId="1" fillId="0" borderId="23" xfId="0" applyFont="1" applyBorder="1" applyAlignment="1">
      <alignment vertical="center"/>
    </xf>
    <xf numFmtId="164" fontId="1" fillId="0" borderId="24" xfId="0" applyNumberFormat="1" applyFont="1" applyBorder="1" applyAlignment="1">
      <alignment vertical="center"/>
    </xf>
    <xf numFmtId="0" fontId="1" fillId="0" borderId="24" xfId="0" applyFont="1" applyBorder="1" applyAlignment="1">
      <alignment vertical="center"/>
    </xf>
    <xf numFmtId="164" fontId="1" fillId="0" borderId="25" xfId="0" applyNumberFormat="1" applyFont="1" applyBorder="1" applyAlignment="1">
      <alignment vertical="center"/>
    </xf>
    <xf numFmtId="0" fontId="0" fillId="0" borderId="26" xfId="0" applyBorder="1"/>
    <xf numFmtId="0" fontId="0" fillId="0" borderId="27" xfId="0" applyBorder="1"/>
    <xf numFmtId="2" fontId="0" fillId="0" borderId="5" xfId="0" applyNumberFormat="1" applyBorder="1" applyAlignment="1">
      <alignment vertical="center"/>
    </xf>
    <xf numFmtId="2" fontId="0" fillId="0" borderId="11" xfId="0" applyNumberFormat="1" applyBorder="1" applyAlignment="1">
      <alignment vertical="center"/>
    </xf>
    <xf numFmtId="0" fontId="0" fillId="0" borderId="0" xfId="0" applyAlignment="1">
      <alignment wrapText="1"/>
    </xf>
    <xf numFmtId="0" fontId="0" fillId="0" borderId="3" xfId="0" applyBorder="1" applyAlignment="1">
      <alignment wrapText="1"/>
    </xf>
    <xf numFmtId="4" fontId="0" fillId="0" borderId="3" xfId="0" applyNumberFormat="1" applyBorder="1" applyAlignment="1">
      <alignment wrapText="1"/>
    </xf>
    <xf numFmtId="4" fontId="2" fillId="0" borderId="3" xfId="0" applyNumberFormat="1" applyFont="1" applyBorder="1" applyAlignment="1">
      <alignment wrapText="1"/>
    </xf>
    <xf numFmtId="4" fontId="0" fillId="0" borderId="0" xfId="0" applyNumberFormat="1" applyAlignment="1">
      <alignment wrapText="1"/>
    </xf>
    <xf numFmtId="9" fontId="0" fillId="0" borderId="3" xfId="0" applyNumberFormat="1" applyBorder="1" applyAlignment="1">
      <alignment wrapText="1"/>
    </xf>
    <xf numFmtId="0" fontId="1" fillId="0" borderId="0" xfId="0" applyFont="1" applyAlignment="1">
      <alignment wrapText="1"/>
    </xf>
    <xf numFmtId="0" fontId="0" fillId="0" borderId="13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14" xfId="0" applyBorder="1" applyAlignment="1">
      <alignment wrapText="1"/>
    </xf>
    <xf numFmtId="0" fontId="0" fillId="0" borderId="12" xfId="0" applyBorder="1" applyAlignment="1">
      <alignment wrapText="1"/>
    </xf>
    <xf numFmtId="4" fontId="0" fillId="0" borderId="22" xfId="0" applyNumberFormat="1" applyBorder="1" applyAlignment="1">
      <alignment wrapText="1"/>
    </xf>
    <xf numFmtId="0" fontId="0" fillId="0" borderId="22" xfId="0" applyBorder="1" applyAlignment="1">
      <alignment wrapText="1"/>
    </xf>
    <xf numFmtId="0" fontId="4" fillId="0" borderId="0" xfId="0" applyFont="1" applyAlignment="1">
      <alignment wrapText="1"/>
    </xf>
    <xf numFmtId="4" fontId="4" fillId="0" borderId="8" xfId="0" applyNumberFormat="1" applyFont="1" applyBorder="1" applyAlignment="1">
      <alignment wrapText="1"/>
    </xf>
    <xf numFmtId="0" fontId="0" fillId="0" borderId="7" xfId="0" applyBorder="1" applyAlignment="1">
      <alignment wrapText="1"/>
    </xf>
    <xf numFmtId="4" fontId="0" fillId="0" borderId="5" xfId="0" applyNumberFormat="1" applyBorder="1" applyAlignment="1">
      <alignment wrapText="1"/>
    </xf>
    <xf numFmtId="4" fontId="0" fillId="0" borderId="11" xfId="0" applyNumberFormat="1" applyBorder="1" applyAlignment="1">
      <alignment wrapText="1"/>
    </xf>
    <xf numFmtId="0" fontId="1" fillId="0" borderId="28" xfId="0" applyFont="1" applyBorder="1" applyAlignment="1">
      <alignment wrapText="1"/>
    </xf>
    <xf numFmtId="0" fontId="1" fillId="0" borderId="24" xfId="0" applyFont="1" applyBorder="1" applyAlignment="1">
      <alignment horizontal="center" wrapText="1"/>
    </xf>
    <xf numFmtId="0" fontId="0" fillId="0" borderId="25" xfId="0" applyBorder="1" applyAlignment="1">
      <alignment horizontal="center" wrapText="1"/>
    </xf>
    <xf numFmtId="0" fontId="0" fillId="0" borderId="28" xfId="0" applyBorder="1" applyAlignment="1">
      <alignment wrapText="1"/>
    </xf>
    <xf numFmtId="4" fontId="5" fillId="0" borderId="5" xfId="0" applyNumberFormat="1" applyFont="1" applyBorder="1" applyAlignment="1">
      <alignment wrapText="1"/>
    </xf>
    <xf numFmtId="4" fontId="0" fillId="0" borderId="5" xfId="0" applyNumberFormat="1" applyBorder="1" applyAlignment="1">
      <alignment horizontal="center" wrapText="1"/>
    </xf>
    <xf numFmtId="0" fontId="1" fillId="0" borderId="25" xfId="0" applyFont="1" applyBorder="1" applyAlignment="1">
      <alignment horizontal="center" wrapText="1"/>
    </xf>
    <xf numFmtId="0" fontId="5" fillId="0" borderId="3" xfId="0" applyFont="1" applyBorder="1"/>
    <xf numFmtId="9" fontId="0" fillId="0" borderId="0" xfId="0" applyNumberFormat="1"/>
    <xf numFmtId="9" fontId="0" fillId="0" borderId="0" xfId="0" applyNumberFormat="1" applyAlignment="1">
      <alignment wrapText="1"/>
    </xf>
    <xf numFmtId="4" fontId="2" fillId="0" borderId="0" xfId="0" applyNumberFormat="1" applyFont="1" applyAlignment="1">
      <alignment wrapText="1"/>
    </xf>
    <xf numFmtId="164" fontId="1" fillId="0" borderId="0" xfId="0" applyNumberFormat="1" applyFont="1"/>
    <xf numFmtId="4" fontId="0" fillId="0" borderId="0" xfId="0" applyNumberFormat="1"/>
    <xf numFmtId="4" fontId="1" fillId="0" borderId="29" xfId="0" applyNumberFormat="1" applyFont="1" applyBorder="1"/>
    <xf numFmtId="4" fontId="0" fillId="0" borderId="29" xfId="0" applyNumberFormat="1" applyBorder="1"/>
    <xf numFmtId="4" fontId="1" fillId="0" borderId="0" xfId="0" applyNumberFormat="1" applyFont="1"/>
    <xf numFmtId="4" fontId="0" fillId="0" borderId="15" xfId="0" applyNumberFormat="1" applyBorder="1" applyAlignment="1">
      <alignment vertical="center"/>
    </xf>
    <xf numFmtId="4" fontId="0" fillId="0" borderId="9" xfId="0" applyNumberFormat="1" applyBorder="1" applyAlignment="1">
      <alignment vertical="center"/>
    </xf>
    <xf numFmtId="4" fontId="0" fillId="0" borderId="5" xfId="0" applyNumberFormat="1" applyBorder="1" applyAlignment="1">
      <alignment vertical="center"/>
    </xf>
    <xf numFmtId="4" fontId="0" fillId="0" borderId="11" xfId="0" applyNumberFormat="1" applyBorder="1" applyAlignment="1">
      <alignment vertical="center"/>
    </xf>
    <xf numFmtId="4" fontId="0" fillId="0" borderId="29" xfId="0" applyNumberFormat="1" applyBorder="1" applyAlignment="1">
      <alignment wrapText="1"/>
    </xf>
    <xf numFmtId="4" fontId="1" fillId="0" borderId="19" xfId="0" applyNumberFormat="1" applyFont="1" applyBorder="1" applyAlignment="1">
      <alignment horizontal="center" vertical="center" wrapText="1"/>
    </xf>
    <xf numFmtId="4" fontId="2" fillId="0" borderId="9" xfId="0" applyNumberFormat="1" applyFont="1" applyBorder="1" applyAlignment="1">
      <alignment vertical="center"/>
    </xf>
    <xf numFmtId="4" fontId="2" fillId="0" borderId="5" xfId="0" applyNumberFormat="1" applyFont="1" applyBorder="1" applyAlignment="1">
      <alignment vertical="center"/>
    </xf>
    <xf numFmtId="4" fontId="0" fillId="0" borderId="20" xfId="0" applyNumberFormat="1" applyBorder="1"/>
    <xf numFmtId="4" fontId="5" fillId="0" borderId="3" xfId="0" applyNumberFormat="1" applyFont="1" applyBorder="1"/>
    <xf numFmtId="4" fontId="0" fillId="0" borderId="3" xfId="0" applyNumberFormat="1" applyBorder="1"/>
    <xf numFmtId="4" fontId="0" fillId="0" borderId="21" xfId="0" applyNumberFormat="1" applyBorder="1"/>
    <xf numFmtId="4" fontId="0" fillId="0" borderId="12" xfId="0" applyNumberFormat="1" applyBorder="1"/>
    <xf numFmtId="4" fontId="1" fillId="0" borderId="10" xfId="0" applyNumberFormat="1" applyFont="1" applyBorder="1" applyAlignment="1">
      <alignment vertical="center"/>
    </xf>
    <xf numFmtId="4" fontId="1" fillId="0" borderId="24" xfId="0" applyNumberFormat="1" applyFont="1" applyBorder="1" applyAlignment="1">
      <alignment vertical="center"/>
    </xf>
    <xf numFmtId="4" fontId="2" fillId="2" borderId="5" xfId="0" applyNumberFormat="1" applyFont="1" applyFill="1" applyBorder="1" applyAlignment="1">
      <alignment vertical="center"/>
    </xf>
    <xf numFmtId="2" fontId="2" fillId="2" borderId="0" xfId="0" applyNumberFormat="1" applyFont="1" applyFill="1" applyAlignment="1">
      <alignment vertical="center"/>
    </xf>
    <xf numFmtId="0" fontId="2" fillId="2" borderId="0" xfId="0" applyFont="1" applyFill="1"/>
    <xf numFmtId="4" fontId="7" fillId="2" borderId="0" xfId="0" applyNumberFormat="1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0" fillId="0" borderId="0" xfId="0" applyAlignment="1">
      <alignment horizontal="right" wrapText="1"/>
    </xf>
    <xf numFmtId="0" fontId="0" fillId="0" borderId="26" xfId="0" applyBorder="1" applyAlignment="1">
      <alignment wrapText="1"/>
    </xf>
    <xf numFmtId="4" fontId="0" fillId="0" borderId="26" xfId="0" applyNumberFormat="1" applyBorder="1" applyAlignment="1">
      <alignment wrapText="1"/>
    </xf>
    <xf numFmtId="9" fontId="0" fillId="0" borderId="26" xfId="0" applyNumberFormat="1" applyBorder="1" applyAlignment="1">
      <alignment wrapText="1"/>
    </xf>
    <xf numFmtId="4" fontId="2" fillId="0" borderId="26" xfId="0" applyNumberFormat="1" applyFont="1" applyBorder="1" applyAlignment="1">
      <alignment wrapText="1"/>
    </xf>
    <xf numFmtId="0" fontId="0" fillId="0" borderId="26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2" fillId="0" borderId="0" xfId="0" applyFont="1" applyAlignment="1">
      <alignment wrapText="1"/>
    </xf>
    <xf numFmtId="9" fontId="2" fillId="0" borderId="0" xfId="0" applyNumberFormat="1" applyFont="1" applyAlignment="1">
      <alignment wrapText="1"/>
    </xf>
    <xf numFmtId="0" fontId="1" fillId="0" borderId="1" xfId="0" applyFont="1" applyBorder="1" applyAlignment="1">
      <alignment horizontal="center" vertical="center"/>
    </xf>
    <xf numFmtId="2" fontId="0" fillId="0" borderId="0" xfId="0" applyNumberFormat="1" applyAlignment="1">
      <alignment wrapText="1"/>
    </xf>
    <xf numFmtId="0" fontId="0" fillId="0" borderId="29" xfId="0" applyBorder="1" applyAlignment="1">
      <alignment wrapText="1"/>
    </xf>
    <xf numFmtId="0" fontId="0" fillId="0" borderId="29" xfId="0" applyBorder="1" applyAlignment="1">
      <alignment horizontal="center" wrapText="1"/>
    </xf>
    <xf numFmtId="2" fontId="0" fillId="0" borderId="29" xfId="0" applyNumberFormat="1" applyBorder="1" applyAlignment="1">
      <alignment wrapText="1"/>
    </xf>
    <xf numFmtId="2" fontId="2" fillId="0" borderId="0" xfId="0" applyNumberFormat="1" applyFont="1" applyAlignment="1">
      <alignment wrapText="1"/>
    </xf>
    <xf numFmtId="0" fontId="4" fillId="0" borderId="0" xfId="0" applyFont="1" applyAlignment="1">
      <alignment wrapText="1"/>
    </xf>
    <xf numFmtId="0" fontId="0" fillId="0" borderId="4" xfId="0" applyBorder="1" applyAlignment="1">
      <alignment horizontal="center"/>
    </xf>
    <xf numFmtId="0" fontId="0" fillId="0" borderId="18" xfId="0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9" fontId="6" fillId="0" borderId="4" xfId="0" applyNumberFormat="1" applyFont="1" applyBorder="1" applyAlignment="1">
      <alignment horizontal="center"/>
    </xf>
    <xf numFmtId="0" fontId="6" fillId="0" borderId="18" xfId="0" applyFont="1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267658</xdr:colOff>
      <xdr:row>43</xdr:row>
      <xdr:rowOff>282849</xdr:rowOff>
    </xdr:from>
    <xdr:to>
      <xdr:col>17</xdr:col>
      <xdr:colOff>463955</xdr:colOff>
      <xdr:row>45</xdr:row>
      <xdr:rowOff>1055329</xdr:rowOff>
    </xdr:to>
    <xdr:sp macro="" textlink="">
      <xdr:nvSpPr>
        <xdr:cNvPr id="2" name="ZoneTexte 4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16574917" y="868120"/>
          <a:ext cx="2812803" cy="1461034"/>
        </a:xfrm>
        <a:prstGeom prst="rect">
          <a:avLst/>
        </a:prstGeom>
        <a:solidFill>
          <a:srgbClr val="E7E6E6"/>
        </a:solidFill>
        <a:ln>
          <a:solidFill>
            <a:schemeClr val="bg1">
              <a:lumMod val="50000"/>
            </a:schemeClr>
          </a:solidFill>
          <a:prstDash val="dash"/>
        </a:ln>
      </xdr:spPr>
      <xdr:txBody>
        <a:bodyPr wrap="square" rtlCol="0">
          <a:spAutoFit/>
        </a:bodyPr>
        <a:lstStyle>
          <a:defPPr>
            <a:defRPr lang="it-IT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fr-FR" sz="1050" b="1"/>
            <a:t>OVERAL DURATION FOR EACH DELIVERABLE : </a:t>
          </a:r>
        </a:p>
        <a:p>
          <a:pPr marL="171450" indent="-171450">
            <a:buFont typeface="Encode Sans" pitchFamily="2" charset="0"/>
            <a:buChar char="-"/>
          </a:pPr>
          <a:r>
            <a:rPr lang="fr-FR" sz="1050"/>
            <a:t>1 WBT – 60’</a:t>
          </a:r>
        </a:p>
        <a:p>
          <a:pPr marL="171450" indent="-171450">
            <a:buFont typeface="Encode Sans" pitchFamily="2" charset="0"/>
            <a:buChar char="-"/>
          </a:pPr>
          <a:r>
            <a:rPr lang="fr-FR" sz="1050"/>
            <a:t>Sales memento – 45 pages</a:t>
          </a:r>
        </a:p>
        <a:p>
          <a:pPr marL="171450" indent="-171450">
            <a:buFont typeface="Encode Sans" pitchFamily="2" charset="0"/>
            <a:buChar char="-"/>
          </a:pPr>
          <a:r>
            <a:rPr lang="fr-FR" sz="1050"/>
            <a:t>IBT Event  – 7h </a:t>
          </a:r>
        </a:p>
        <a:p>
          <a:pPr marL="171450" indent="-171450">
            <a:buFont typeface="Encode Sans" pitchFamily="2" charset="0"/>
            <a:buChar char="-"/>
          </a:pPr>
          <a:r>
            <a:rPr lang="fr-FR" sz="1050"/>
            <a:t>1 VCT – 90’</a:t>
          </a:r>
        </a:p>
        <a:p>
          <a:pPr marL="171450" indent="-171450">
            <a:buFont typeface="Encode Sans" pitchFamily="2" charset="0"/>
            <a:buChar char="-"/>
          </a:pPr>
          <a:r>
            <a:rPr lang="fr-FR" sz="1050"/>
            <a:t>Handover – 45 pages</a:t>
          </a:r>
        </a:p>
        <a:p>
          <a:pPr marL="171450" indent="-171450">
            <a:buFont typeface="Encode Sans" pitchFamily="2" charset="0"/>
            <a:buChar char="-"/>
          </a:pPr>
          <a:r>
            <a:rPr lang="fr-FR" sz="1050"/>
            <a:t>1 Beedeez capsule – 5’</a:t>
          </a:r>
        </a:p>
        <a:p>
          <a:pPr marL="171450" indent="-171450">
            <a:buFont typeface="Encode Sans" pitchFamily="2" charset="0"/>
            <a:buChar char="-"/>
          </a:pPr>
          <a:r>
            <a:rPr lang="fr-FR" sz="1050"/>
            <a:t>1 Quiz – 20 questions</a:t>
          </a:r>
        </a:p>
      </xdr:txBody>
    </xdr:sp>
    <xdr:clientData/>
  </xdr:twoCellAnchor>
  <xdr:twoCellAnchor>
    <xdr:from>
      <xdr:col>15</xdr:col>
      <xdr:colOff>325038</xdr:colOff>
      <xdr:row>56</xdr:row>
      <xdr:rowOff>53331</xdr:rowOff>
    </xdr:from>
    <xdr:to>
      <xdr:col>20</xdr:col>
      <xdr:colOff>96726</xdr:colOff>
      <xdr:row>62</xdr:row>
      <xdr:rowOff>45449</xdr:rowOff>
    </xdr:to>
    <xdr:sp macro="" textlink="">
      <xdr:nvSpPr>
        <xdr:cNvPr id="3" name="ZoneTexte 4">
          <a:extLst>
            <a:ext uri="{FF2B5EF4-FFF2-40B4-BE49-F238E27FC236}">
              <a16:creationId xmlns:a16="http://schemas.microsoft.com/office/drawing/2014/main" id="{E7F9A8C8-95CD-4A0C-928C-51D5EAE21FC2}"/>
            </a:ext>
          </a:extLst>
        </xdr:cNvPr>
        <xdr:cNvSpPr txBox="1"/>
      </xdr:nvSpPr>
      <xdr:spPr>
        <a:xfrm>
          <a:off x="18032357" y="12734204"/>
          <a:ext cx="2939038" cy="1461034"/>
        </a:xfrm>
        <a:prstGeom prst="rect">
          <a:avLst/>
        </a:prstGeom>
        <a:solidFill>
          <a:srgbClr val="E7E6E6"/>
        </a:solidFill>
        <a:ln>
          <a:solidFill>
            <a:schemeClr val="bg1">
              <a:lumMod val="50000"/>
            </a:schemeClr>
          </a:solidFill>
          <a:prstDash val="dash"/>
        </a:ln>
      </xdr:spPr>
      <xdr:txBody>
        <a:bodyPr wrap="square" rtlCol="0">
          <a:spAutoFit/>
        </a:bodyPr>
        <a:lstStyle>
          <a:defPPr>
            <a:defRPr lang="it-IT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fr-FR" sz="1050" b="1"/>
            <a:t>OVERAL DURATION FOR EACH DELIVERABLE : </a:t>
          </a:r>
        </a:p>
        <a:p>
          <a:pPr marL="171450" indent="-171450">
            <a:buFont typeface="Encode Sans" pitchFamily="2" charset="0"/>
            <a:buChar char="-"/>
          </a:pPr>
          <a:r>
            <a:rPr lang="fr-FR" sz="1050"/>
            <a:t>1 WBT – 60’</a:t>
          </a:r>
        </a:p>
        <a:p>
          <a:pPr marL="171450" indent="-171450">
            <a:buFont typeface="Encode Sans" pitchFamily="2" charset="0"/>
            <a:buChar char="-"/>
          </a:pPr>
          <a:r>
            <a:rPr lang="fr-FR" sz="1050"/>
            <a:t>Sales memento – 45 pages</a:t>
          </a:r>
        </a:p>
        <a:p>
          <a:pPr marL="171450" indent="-171450">
            <a:buFont typeface="Encode Sans" pitchFamily="2" charset="0"/>
            <a:buChar char="-"/>
          </a:pPr>
          <a:r>
            <a:rPr lang="fr-FR" sz="1050"/>
            <a:t>IBT Event  – 7h </a:t>
          </a:r>
        </a:p>
        <a:p>
          <a:pPr marL="171450" indent="-171450">
            <a:buFont typeface="Encode Sans" pitchFamily="2" charset="0"/>
            <a:buChar char="-"/>
          </a:pPr>
          <a:r>
            <a:rPr lang="fr-FR" sz="1050"/>
            <a:t>1 VCT – 90’</a:t>
          </a:r>
        </a:p>
        <a:p>
          <a:pPr marL="171450" indent="-171450">
            <a:buFont typeface="Encode Sans" pitchFamily="2" charset="0"/>
            <a:buChar char="-"/>
          </a:pPr>
          <a:r>
            <a:rPr lang="fr-FR" sz="1050"/>
            <a:t>Handover – 45 pages</a:t>
          </a:r>
        </a:p>
        <a:p>
          <a:pPr marL="171450" indent="-171450">
            <a:buFont typeface="Encode Sans" pitchFamily="2" charset="0"/>
            <a:buChar char="-"/>
          </a:pPr>
          <a:r>
            <a:rPr lang="fr-FR" sz="1050"/>
            <a:t>1 Beedeez capsule – 5’</a:t>
          </a:r>
        </a:p>
        <a:p>
          <a:pPr marL="171450" indent="-171450">
            <a:buFont typeface="Encode Sans" pitchFamily="2" charset="0"/>
            <a:buChar char="-"/>
          </a:pPr>
          <a:r>
            <a:rPr lang="fr-FR" sz="1050"/>
            <a:t>1 Quiz – 20 questions</a:t>
          </a:r>
        </a:p>
      </xdr:txBody>
    </xdr:sp>
    <xdr:clientData/>
  </xdr:twoCellAnchor>
  <xdr:twoCellAnchor>
    <xdr:from>
      <xdr:col>14</xdr:col>
      <xdr:colOff>267658</xdr:colOff>
      <xdr:row>20</xdr:row>
      <xdr:rowOff>282849</xdr:rowOff>
    </xdr:from>
    <xdr:to>
      <xdr:col>17</xdr:col>
      <xdr:colOff>463955</xdr:colOff>
      <xdr:row>22</xdr:row>
      <xdr:rowOff>1055329</xdr:rowOff>
    </xdr:to>
    <xdr:sp macro="" textlink="">
      <xdr:nvSpPr>
        <xdr:cNvPr id="4" name="ZoneTexte 4">
          <a:extLst>
            <a:ext uri="{FF2B5EF4-FFF2-40B4-BE49-F238E27FC236}">
              <a16:creationId xmlns:a16="http://schemas.microsoft.com/office/drawing/2014/main" id="{D1F4D469-775D-4F68-BD2A-CDB60156284B}"/>
            </a:ext>
          </a:extLst>
        </xdr:cNvPr>
        <xdr:cNvSpPr txBox="1"/>
      </xdr:nvSpPr>
      <xdr:spPr>
        <a:xfrm>
          <a:off x="16574917" y="2038662"/>
          <a:ext cx="2812803" cy="1461034"/>
        </a:xfrm>
        <a:prstGeom prst="rect">
          <a:avLst/>
        </a:prstGeom>
        <a:solidFill>
          <a:srgbClr val="E7E6E6"/>
        </a:solidFill>
        <a:ln>
          <a:solidFill>
            <a:schemeClr val="bg1">
              <a:lumMod val="50000"/>
            </a:schemeClr>
          </a:solidFill>
          <a:prstDash val="dash"/>
        </a:ln>
      </xdr:spPr>
      <xdr:txBody>
        <a:bodyPr wrap="square" rtlCol="0">
          <a:spAutoFit/>
        </a:bodyPr>
        <a:lstStyle>
          <a:defPPr>
            <a:defRPr lang="it-IT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fr-FR" sz="1050" b="1"/>
            <a:t>OVERAL DURATION FOR EACH DELIVERABLE : </a:t>
          </a:r>
        </a:p>
        <a:p>
          <a:pPr marL="171450" indent="-171450">
            <a:buFont typeface="Encode Sans" pitchFamily="2" charset="0"/>
            <a:buChar char="-"/>
          </a:pPr>
          <a:r>
            <a:rPr lang="fr-FR" sz="1050"/>
            <a:t>1 WBT – 60’</a:t>
          </a:r>
        </a:p>
        <a:p>
          <a:pPr marL="171450" indent="-171450">
            <a:buFont typeface="Encode Sans" pitchFamily="2" charset="0"/>
            <a:buChar char="-"/>
          </a:pPr>
          <a:r>
            <a:rPr lang="fr-FR" sz="1050"/>
            <a:t>Sales memento – 45 pages</a:t>
          </a:r>
        </a:p>
        <a:p>
          <a:pPr marL="171450" indent="-171450">
            <a:buFont typeface="Encode Sans" pitchFamily="2" charset="0"/>
            <a:buChar char="-"/>
          </a:pPr>
          <a:r>
            <a:rPr lang="fr-FR" sz="1050"/>
            <a:t>IBT Event  – 7h </a:t>
          </a:r>
        </a:p>
        <a:p>
          <a:pPr marL="171450" indent="-171450">
            <a:buFont typeface="Encode Sans" pitchFamily="2" charset="0"/>
            <a:buChar char="-"/>
          </a:pPr>
          <a:r>
            <a:rPr lang="fr-FR" sz="1050"/>
            <a:t>1 VCT – 90’</a:t>
          </a:r>
        </a:p>
        <a:p>
          <a:pPr marL="171450" indent="-171450">
            <a:buFont typeface="Encode Sans" pitchFamily="2" charset="0"/>
            <a:buChar char="-"/>
          </a:pPr>
          <a:r>
            <a:rPr lang="fr-FR" sz="1050"/>
            <a:t>Handover – 45 pages</a:t>
          </a:r>
        </a:p>
        <a:p>
          <a:pPr marL="171450" indent="-171450">
            <a:buFont typeface="Encode Sans" pitchFamily="2" charset="0"/>
            <a:buChar char="-"/>
          </a:pPr>
          <a:r>
            <a:rPr lang="fr-FR" sz="1050"/>
            <a:t>1 Beedeez capsule – 5’</a:t>
          </a:r>
        </a:p>
        <a:p>
          <a:pPr marL="171450" indent="-171450">
            <a:buFont typeface="Encode Sans" pitchFamily="2" charset="0"/>
            <a:buChar char="-"/>
          </a:pPr>
          <a:r>
            <a:rPr lang="fr-FR" sz="1050"/>
            <a:t>1 Quiz – 20 questions</a:t>
          </a:r>
        </a:p>
      </xdr:txBody>
    </xdr:sp>
    <xdr:clientData/>
  </xdr:twoCellAnchor>
  <xdr:twoCellAnchor>
    <xdr:from>
      <xdr:col>14</xdr:col>
      <xdr:colOff>267658</xdr:colOff>
      <xdr:row>28</xdr:row>
      <xdr:rowOff>282849</xdr:rowOff>
    </xdr:from>
    <xdr:to>
      <xdr:col>17</xdr:col>
      <xdr:colOff>463955</xdr:colOff>
      <xdr:row>30</xdr:row>
      <xdr:rowOff>1055329</xdr:rowOff>
    </xdr:to>
    <xdr:sp macro="" textlink="">
      <xdr:nvSpPr>
        <xdr:cNvPr id="5" name="ZoneTexte 4">
          <a:extLst>
            <a:ext uri="{FF2B5EF4-FFF2-40B4-BE49-F238E27FC236}">
              <a16:creationId xmlns:a16="http://schemas.microsoft.com/office/drawing/2014/main" id="{525F9074-DBF5-4344-8824-7F9F7123A110}"/>
            </a:ext>
          </a:extLst>
        </xdr:cNvPr>
        <xdr:cNvSpPr txBox="1"/>
      </xdr:nvSpPr>
      <xdr:spPr>
        <a:xfrm>
          <a:off x="16574917" y="477939"/>
          <a:ext cx="2812803" cy="1461035"/>
        </a:xfrm>
        <a:prstGeom prst="rect">
          <a:avLst/>
        </a:prstGeom>
        <a:solidFill>
          <a:srgbClr val="E7E6E6"/>
        </a:solidFill>
        <a:ln>
          <a:solidFill>
            <a:schemeClr val="bg1">
              <a:lumMod val="50000"/>
            </a:schemeClr>
          </a:solidFill>
          <a:prstDash val="dash"/>
        </a:ln>
      </xdr:spPr>
      <xdr:txBody>
        <a:bodyPr wrap="square" rtlCol="0">
          <a:spAutoFit/>
        </a:bodyPr>
        <a:lstStyle>
          <a:defPPr>
            <a:defRPr lang="it-IT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fr-FR" sz="1050" b="1"/>
            <a:t>OVERAL DURATION FOR EACH DELIVERABLE : </a:t>
          </a:r>
        </a:p>
        <a:p>
          <a:pPr marL="171450" indent="-171450">
            <a:buFont typeface="Encode Sans" pitchFamily="2" charset="0"/>
            <a:buChar char="-"/>
          </a:pPr>
          <a:r>
            <a:rPr lang="fr-FR" sz="1050"/>
            <a:t>1 WBT – 60’</a:t>
          </a:r>
        </a:p>
        <a:p>
          <a:pPr marL="171450" indent="-171450">
            <a:buFont typeface="Encode Sans" pitchFamily="2" charset="0"/>
            <a:buChar char="-"/>
          </a:pPr>
          <a:r>
            <a:rPr lang="fr-FR" sz="1050"/>
            <a:t>Sales memento – 45 pages</a:t>
          </a:r>
        </a:p>
        <a:p>
          <a:pPr marL="171450" indent="-171450">
            <a:buFont typeface="Encode Sans" pitchFamily="2" charset="0"/>
            <a:buChar char="-"/>
          </a:pPr>
          <a:r>
            <a:rPr lang="fr-FR" sz="1050"/>
            <a:t>IBT Event  – 7h </a:t>
          </a:r>
        </a:p>
        <a:p>
          <a:pPr marL="171450" indent="-171450">
            <a:buFont typeface="Encode Sans" pitchFamily="2" charset="0"/>
            <a:buChar char="-"/>
          </a:pPr>
          <a:r>
            <a:rPr lang="fr-FR" sz="1050"/>
            <a:t>1 VCT – 90’</a:t>
          </a:r>
        </a:p>
        <a:p>
          <a:pPr marL="171450" indent="-171450">
            <a:buFont typeface="Encode Sans" pitchFamily="2" charset="0"/>
            <a:buChar char="-"/>
          </a:pPr>
          <a:r>
            <a:rPr lang="fr-FR" sz="1050"/>
            <a:t>Handover – 45 pages</a:t>
          </a:r>
        </a:p>
        <a:p>
          <a:pPr marL="171450" indent="-171450">
            <a:buFont typeface="Encode Sans" pitchFamily="2" charset="0"/>
            <a:buChar char="-"/>
          </a:pPr>
          <a:r>
            <a:rPr lang="fr-FR" sz="1050"/>
            <a:t>1 Beedeez capsule – 5’</a:t>
          </a:r>
        </a:p>
        <a:p>
          <a:pPr marL="171450" indent="-171450">
            <a:buFont typeface="Encode Sans" pitchFamily="2" charset="0"/>
            <a:buChar char="-"/>
          </a:pPr>
          <a:r>
            <a:rPr lang="fr-FR" sz="1050"/>
            <a:t>1 Quiz – 20 questions</a:t>
          </a:r>
        </a:p>
      </xdr:txBody>
    </xdr:sp>
    <xdr:clientData/>
  </xdr:twoCellAnchor>
  <xdr:twoCellAnchor>
    <xdr:from>
      <xdr:col>14</xdr:col>
      <xdr:colOff>267658</xdr:colOff>
      <xdr:row>35</xdr:row>
      <xdr:rowOff>282849</xdr:rowOff>
    </xdr:from>
    <xdr:to>
      <xdr:col>17</xdr:col>
      <xdr:colOff>463955</xdr:colOff>
      <xdr:row>37</xdr:row>
      <xdr:rowOff>1055329</xdr:rowOff>
    </xdr:to>
    <xdr:sp macro="" textlink="">
      <xdr:nvSpPr>
        <xdr:cNvPr id="6" name="ZoneTexte 4">
          <a:extLst>
            <a:ext uri="{FF2B5EF4-FFF2-40B4-BE49-F238E27FC236}">
              <a16:creationId xmlns:a16="http://schemas.microsoft.com/office/drawing/2014/main" id="{FB4B09E4-B899-40C8-957F-AE7D6262E5D5}"/>
            </a:ext>
          </a:extLst>
        </xdr:cNvPr>
        <xdr:cNvSpPr txBox="1"/>
      </xdr:nvSpPr>
      <xdr:spPr>
        <a:xfrm>
          <a:off x="16574917" y="3404295"/>
          <a:ext cx="2939038" cy="1461034"/>
        </a:xfrm>
        <a:prstGeom prst="rect">
          <a:avLst/>
        </a:prstGeom>
        <a:solidFill>
          <a:srgbClr val="E7E6E6"/>
        </a:solidFill>
        <a:ln>
          <a:solidFill>
            <a:schemeClr val="bg1">
              <a:lumMod val="50000"/>
            </a:schemeClr>
          </a:solidFill>
          <a:prstDash val="dash"/>
        </a:ln>
      </xdr:spPr>
      <xdr:txBody>
        <a:bodyPr wrap="square" rtlCol="0">
          <a:spAutoFit/>
        </a:bodyPr>
        <a:lstStyle>
          <a:defPPr>
            <a:defRPr lang="it-IT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fr-FR" sz="1050" b="1"/>
            <a:t>OVERAL DURATION FOR EACH DELIVERABLE : </a:t>
          </a:r>
        </a:p>
        <a:p>
          <a:pPr marL="171450" indent="-171450">
            <a:buFont typeface="Encode Sans" pitchFamily="2" charset="0"/>
            <a:buChar char="-"/>
          </a:pPr>
          <a:r>
            <a:rPr lang="fr-FR" sz="1050"/>
            <a:t>1 WBT – 60’</a:t>
          </a:r>
        </a:p>
        <a:p>
          <a:pPr marL="171450" indent="-171450">
            <a:buFont typeface="Encode Sans" pitchFamily="2" charset="0"/>
            <a:buChar char="-"/>
          </a:pPr>
          <a:r>
            <a:rPr lang="fr-FR" sz="1050"/>
            <a:t>Sales memento – 45 pages</a:t>
          </a:r>
        </a:p>
        <a:p>
          <a:pPr marL="171450" indent="-171450">
            <a:buFont typeface="Encode Sans" pitchFamily="2" charset="0"/>
            <a:buChar char="-"/>
          </a:pPr>
          <a:r>
            <a:rPr lang="fr-FR" sz="1050"/>
            <a:t>IBT Event  – 7h </a:t>
          </a:r>
        </a:p>
        <a:p>
          <a:pPr marL="171450" indent="-171450">
            <a:buFont typeface="Encode Sans" pitchFamily="2" charset="0"/>
            <a:buChar char="-"/>
          </a:pPr>
          <a:r>
            <a:rPr lang="fr-FR" sz="1050"/>
            <a:t>1 VCT – 90’</a:t>
          </a:r>
        </a:p>
        <a:p>
          <a:pPr marL="171450" indent="-171450">
            <a:buFont typeface="Encode Sans" pitchFamily="2" charset="0"/>
            <a:buChar char="-"/>
          </a:pPr>
          <a:r>
            <a:rPr lang="fr-FR" sz="1050"/>
            <a:t>Handover – 45 pages</a:t>
          </a:r>
        </a:p>
        <a:p>
          <a:pPr marL="171450" indent="-171450">
            <a:buFont typeface="Encode Sans" pitchFamily="2" charset="0"/>
            <a:buChar char="-"/>
          </a:pPr>
          <a:r>
            <a:rPr lang="fr-FR" sz="1050"/>
            <a:t>1 Beedeez capsule – 5’</a:t>
          </a:r>
        </a:p>
        <a:p>
          <a:pPr marL="171450" indent="-171450">
            <a:buFont typeface="Encode Sans" pitchFamily="2" charset="0"/>
            <a:buChar char="-"/>
          </a:pPr>
          <a:r>
            <a:rPr lang="fr-FR" sz="1050"/>
            <a:t>1 Quiz – 20 questions</a:t>
          </a:r>
        </a:p>
      </xdr:txBody>
    </xdr:sp>
    <xdr:clientData/>
  </xdr:twoCellAnchor>
  <xdr:twoCellAnchor>
    <xdr:from>
      <xdr:col>1</xdr:col>
      <xdr:colOff>217714</xdr:colOff>
      <xdr:row>10</xdr:row>
      <xdr:rowOff>48381</xdr:rowOff>
    </xdr:from>
    <xdr:to>
      <xdr:col>3</xdr:col>
      <xdr:colOff>813155</xdr:colOff>
      <xdr:row>13</xdr:row>
      <xdr:rowOff>967619</xdr:rowOff>
    </xdr:to>
    <xdr:sp macro="" textlink="">
      <xdr:nvSpPr>
        <xdr:cNvPr id="7" name="ZoneTexte 4">
          <a:extLst>
            <a:ext uri="{FF2B5EF4-FFF2-40B4-BE49-F238E27FC236}">
              <a16:creationId xmlns:a16="http://schemas.microsoft.com/office/drawing/2014/main" id="{1B9AA007-8836-4427-AF77-F5E9E29E8B08}"/>
            </a:ext>
          </a:extLst>
        </xdr:cNvPr>
        <xdr:cNvSpPr txBox="1"/>
      </xdr:nvSpPr>
      <xdr:spPr>
        <a:xfrm>
          <a:off x="665238" y="3289905"/>
          <a:ext cx="3014488" cy="1463524"/>
        </a:xfrm>
        <a:prstGeom prst="rect">
          <a:avLst/>
        </a:prstGeom>
        <a:solidFill>
          <a:srgbClr val="E7E6E6"/>
        </a:solidFill>
        <a:ln>
          <a:solidFill>
            <a:schemeClr val="bg1">
              <a:lumMod val="50000"/>
            </a:schemeClr>
          </a:solidFill>
          <a:prstDash val="dash"/>
        </a:ln>
      </xdr:spPr>
      <xdr:txBody>
        <a:bodyPr wrap="square" rtlCol="0">
          <a:noAutofit/>
        </a:bodyPr>
        <a:lstStyle>
          <a:defPPr>
            <a:defRPr lang="it-IT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fr-FR" sz="1050" b="1"/>
            <a:t>OVERAL DURATION FOR EACH DELIVERABLE : </a:t>
          </a:r>
        </a:p>
        <a:p>
          <a:pPr marL="171450" indent="-171450">
            <a:buFont typeface="Encode Sans" pitchFamily="2" charset="0"/>
            <a:buChar char="-"/>
          </a:pPr>
          <a:r>
            <a:rPr lang="fr-FR" sz="1050"/>
            <a:t>1 WBT – 60’</a:t>
          </a:r>
        </a:p>
        <a:p>
          <a:pPr marL="171450" indent="-171450">
            <a:buFont typeface="Encode Sans" pitchFamily="2" charset="0"/>
            <a:buChar char="-"/>
          </a:pPr>
          <a:r>
            <a:rPr lang="fr-FR" sz="1050"/>
            <a:t>Sales memento – 45 pages</a:t>
          </a:r>
        </a:p>
        <a:p>
          <a:pPr marL="171450" indent="-171450">
            <a:buFont typeface="Encode Sans" pitchFamily="2" charset="0"/>
            <a:buChar char="-"/>
          </a:pPr>
          <a:r>
            <a:rPr lang="fr-FR" sz="1050"/>
            <a:t>IBT Event  – 7h </a:t>
          </a:r>
        </a:p>
        <a:p>
          <a:pPr marL="171450" indent="-171450">
            <a:buFont typeface="Encode Sans" pitchFamily="2" charset="0"/>
            <a:buChar char="-"/>
          </a:pPr>
          <a:r>
            <a:rPr lang="fr-FR" sz="1050"/>
            <a:t>1 VCT – 90’</a:t>
          </a:r>
        </a:p>
        <a:p>
          <a:pPr marL="171450" indent="-171450">
            <a:buFont typeface="Encode Sans" pitchFamily="2" charset="0"/>
            <a:buChar char="-"/>
          </a:pPr>
          <a:r>
            <a:rPr lang="fr-FR" sz="1050"/>
            <a:t>Handover – 45 pages</a:t>
          </a:r>
        </a:p>
        <a:p>
          <a:pPr marL="171450" indent="-171450">
            <a:buFont typeface="Encode Sans" pitchFamily="2" charset="0"/>
            <a:buChar char="-"/>
          </a:pPr>
          <a:r>
            <a:rPr lang="fr-FR" sz="1050"/>
            <a:t>1 Beedeez capsule – 5’</a:t>
          </a:r>
        </a:p>
        <a:p>
          <a:pPr marL="171450" indent="-171450">
            <a:buFont typeface="Encode Sans" pitchFamily="2" charset="0"/>
            <a:buChar char="-"/>
          </a:pPr>
          <a:r>
            <a:rPr lang="fr-FR" sz="1050"/>
            <a:t>1 Quiz – 20 questions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FBAA4F-93AE-4C95-99AF-040BB7687092}">
  <sheetPr>
    <pageSetUpPr fitToPage="1"/>
  </sheetPr>
  <dimension ref="B2:V74"/>
  <sheetViews>
    <sheetView tabSelected="1" zoomScale="63" zoomScaleNormal="63" workbookViewId="0">
      <selection activeCell="H14" sqref="H14"/>
    </sheetView>
  </sheetViews>
  <sheetFormatPr defaultColWidth="9.109375" defaultRowHeight="14.4" x14ac:dyDescent="0.3"/>
  <cols>
    <col min="1" max="1" width="6.5546875" customWidth="1"/>
    <col min="2" max="2" width="26.109375" bestFit="1" customWidth="1"/>
    <col min="3" max="3" width="15.44140625" customWidth="1"/>
    <col min="4" max="4" width="14.44140625" customWidth="1"/>
    <col min="5" max="5" width="13" customWidth="1"/>
    <col min="6" max="6" width="14.109375" customWidth="1"/>
    <col min="7" max="7" width="17.109375" customWidth="1"/>
    <col min="8" max="8" width="16.6640625" customWidth="1"/>
    <col min="9" max="9" width="14.44140625" customWidth="1"/>
    <col min="10" max="10" width="15.44140625" customWidth="1"/>
    <col min="11" max="11" width="13.88671875" customWidth="1"/>
    <col min="12" max="12" width="18.109375" customWidth="1"/>
    <col min="13" max="13" width="16.5546875" customWidth="1"/>
    <col min="14" max="14" width="3.88671875" customWidth="1"/>
    <col min="15" max="15" width="21" customWidth="1"/>
    <col min="17" max="17" width="11" bestFit="1" customWidth="1"/>
    <col min="20" max="20" width="27" customWidth="1"/>
  </cols>
  <sheetData>
    <row r="2" spans="2:22" x14ac:dyDescent="0.3">
      <c r="B2" t="s">
        <v>43</v>
      </c>
      <c r="D2">
        <v>2</v>
      </c>
      <c r="F2">
        <v>2</v>
      </c>
      <c r="H2">
        <v>2</v>
      </c>
    </row>
    <row r="3" spans="2:22" ht="15" thickBot="1" x14ac:dyDescent="0.35"/>
    <row r="4" spans="2:22" ht="39" customHeight="1" thickBot="1" x14ac:dyDescent="0.35">
      <c r="B4" s="101"/>
      <c r="C4" s="94" t="s">
        <v>1</v>
      </c>
      <c r="D4" s="10" t="s">
        <v>2</v>
      </c>
      <c r="E4" s="10" t="s">
        <v>3</v>
      </c>
      <c r="F4" s="10" t="s">
        <v>4</v>
      </c>
      <c r="G4" s="11" t="s">
        <v>5</v>
      </c>
      <c r="H4" s="11" t="s">
        <v>8</v>
      </c>
      <c r="I4" s="11" t="s">
        <v>9</v>
      </c>
      <c r="J4" s="11" t="s">
        <v>10</v>
      </c>
      <c r="K4" s="11" t="s">
        <v>11</v>
      </c>
    </row>
    <row r="5" spans="2:22" x14ac:dyDescent="0.3">
      <c r="B5" s="102"/>
      <c r="C5" s="4" t="s">
        <v>14</v>
      </c>
      <c r="D5" s="27"/>
      <c r="E5" s="27"/>
      <c r="F5" s="27"/>
      <c r="G5" s="27"/>
      <c r="H5" s="27"/>
      <c r="I5" s="27"/>
      <c r="J5" s="27"/>
      <c r="K5" s="27"/>
    </row>
    <row r="6" spans="2:22" s="8" customFormat="1" ht="88.95" customHeight="1" x14ac:dyDescent="0.3">
      <c r="B6" s="70" t="s">
        <v>16</v>
      </c>
      <c r="C6" s="71">
        <v>19600</v>
      </c>
      <c r="D6" s="72">
        <v>29400</v>
      </c>
      <c r="E6" s="67">
        <v>5000</v>
      </c>
      <c r="F6" s="72">
        <v>19600</v>
      </c>
      <c r="G6" s="72">
        <v>14700</v>
      </c>
      <c r="H6" s="67">
        <v>4000</v>
      </c>
      <c r="I6" s="67">
        <v>9000</v>
      </c>
      <c r="J6" s="72">
        <v>14700</v>
      </c>
      <c r="K6" s="67">
        <v>5000</v>
      </c>
      <c r="R6" s="80">
        <v>1719000</v>
      </c>
      <c r="S6" s="81"/>
      <c r="T6" s="81"/>
    </row>
    <row r="7" spans="2:22" x14ac:dyDescent="0.3">
      <c r="B7" s="73" t="s">
        <v>77</v>
      </c>
      <c r="C7" s="74">
        <v>11</v>
      </c>
      <c r="D7" s="75">
        <v>6</v>
      </c>
      <c r="E7" s="75">
        <v>6</v>
      </c>
      <c r="F7" s="75">
        <v>5</v>
      </c>
      <c r="G7" s="75">
        <v>6</v>
      </c>
      <c r="H7" s="75">
        <v>11</v>
      </c>
      <c r="I7" s="75">
        <v>11</v>
      </c>
      <c r="J7" s="75">
        <v>8.5</v>
      </c>
      <c r="K7" s="75">
        <v>0</v>
      </c>
      <c r="R7" s="80">
        <v>1696100</v>
      </c>
      <c r="S7" s="82"/>
      <c r="T7" s="82"/>
    </row>
    <row r="8" spans="2:22" ht="15" thickBot="1" x14ac:dyDescent="0.35">
      <c r="B8" s="76" t="s">
        <v>77</v>
      </c>
      <c r="C8" s="77">
        <v>6</v>
      </c>
      <c r="D8" s="77">
        <v>0</v>
      </c>
      <c r="E8" s="77">
        <v>0</v>
      </c>
      <c r="F8" s="77">
        <v>3.5</v>
      </c>
      <c r="G8" s="77">
        <v>0</v>
      </c>
      <c r="H8" s="77">
        <v>7.5</v>
      </c>
      <c r="I8" s="77">
        <v>0</v>
      </c>
      <c r="J8" s="77">
        <v>0.5</v>
      </c>
      <c r="K8" s="77">
        <v>5</v>
      </c>
      <c r="R8" s="82"/>
      <c r="S8" s="82"/>
      <c r="T8" s="82"/>
    </row>
    <row r="9" spans="2:22" s="19" customFormat="1" ht="26.25" customHeight="1" thickBot="1" x14ac:dyDescent="0.35">
      <c r="B9" s="78" t="s">
        <v>78</v>
      </c>
      <c r="C9" s="79">
        <f>C6*17</f>
        <v>333200</v>
      </c>
      <c r="D9" s="79">
        <f>D6*6</f>
        <v>176400</v>
      </c>
      <c r="E9" s="79">
        <f>E6*E7</f>
        <v>30000</v>
      </c>
      <c r="F9" s="79">
        <f>F6*8.5</f>
        <v>166600</v>
      </c>
      <c r="G9" s="79">
        <f>G6*6</f>
        <v>88200</v>
      </c>
      <c r="H9" s="79">
        <f>H6*18.5</f>
        <v>74000</v>
      </c>
      <c r="I9" s="79">
        <f>I6*I7</f>
        <v>99000</v>
      </c>
      <c r="J9" s="79">
        <f>J6*9</f>
        <v>132300</v>
      </c>
      <c r="K9" s="79">
        <f>K6*5</f>
        <v>25000</v>
      </c>
      <c r="M9" s="20">
        <f>SUM(C9:K9)</f>
        <v>1124700</v>
      </c>
      <c r="R9" s="83">
        <f>R6-R7</f>
        <v>22900</v>
      </c>
      <c r="S9" s="84" t="s">
        <v>44</v>
      </c>
      <c r="T9" s="84"/>
    </row>
    <row r="10" spans="2:22" x14ac:dyDescent="0.3">
      <c r="B10" s="61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  <c r="O10" s="6"/>
      <c r="P10" s="57">
        <v>0.01</v>
      </c>
      <c r="T10" s="82"/>
      <c r="U10" s="82"/>
      <c r="V10" s="82"/>
    </row>
    <row r="11" spans="2:22" x14ac:dyDescent="0.3">
      <c r="B11" s="61"/>
      <c r="C11" s="61"/>
      <c r="D11" s="61"/>
      <c r="E11" s="61"/>
      <c r="F11" s="61"/>
      <c r="G11" s="61"/>
      <c r="H11" s="61"/>
      <c r="I11" s="61"/>
      <c r="J11" s="61"/>
      <c r="K11" s="61"/>
      <c r="L11" s="61"/>
      <c r="M11" s="61"/>
      <c r="O11" s="6"/>
      <c r="P11" s="57"/>
    </row>
    <row r="12" spans="2:22" x14ac:dyDescent="0.3">
      <c r="B12" s="61"/>
      <c r="C12" s="61"/>
      <c r="D12" s="61"/>
      <c r="E12" s="61"/>
      <c r="F12" s="61"/>
      <c r="G12" s="61"/>
      <c r="H12" s="61"/>
      <c r="I12" s="61"/>
      <c r="J12" s="61"/>
      <c r="K12" s="61"/>
      <c r="L12" s="61"/>
      <c r="M12" s="61"/>
      <c r="O12" s="6"/>
      <c r="P12" s="57"/>
    </row>
    <row r="13" spans="2:22" x14ac:dyDescent="0.3">
      <c r="B13" s="61"/>
      <c r="C13" s="61"/>
      <c r="D13" s="61"/>
      <c r="E13" s="61"/>
      <c r="F13" s="61"/>
      <c r="G13" s="61"/>
      <c r="H13" s="61"/>
      <c r="I13" s="61"/>
      <c r="J13" s="61"/>
      <c r="K13" s="61"/>
      <c r="L13" s="61"/>
      <c r="M13" s="61"/>
      <c r="O13" s="6"/>
      <c r="P13" s="57"/>
    </row>
    <row r="14" spans="2:22" ht="138" customHeight="1" x14ac:dyDescent="0.3">
      <c r="B14" s="61"/>
      <c r="C14" s="61"/>
      <c r="D14" s="61"/>
      <c r="E14" s="61"/>
      <c r="F14" s="61"/>
      <c r="G14" s="61"/>
      <c r="H14" s="61"/>
      <c r="I14" s="61"/>
      <c r="J14" s="61"/>
      <c r="K14" s="61"/>
      <c r="L14" s="61"/>
      <c r="M14" s="61"/>
      <c r="O14" s="6"/>
      <c r="P14" s="57">
        <v>0.03</v>
      </c>
    </row>
    <row r="15" spans="2:22" x14ac:dyDescent="0.3">
      <c r="B15" s="61">
        <v>2.5000000000000001E-2</v>
      </c>
      <c r="C15" s="61"/>
      <c r="D15" s="61">
        <f>20000*2%</f>
        <v>400</v>
      </c>
      <c r="E15" s="61"/>
      <c r="F15" s="61">
        <f>30000*2%</f>
        <v>600</v>
      </c>
      <c r="G15" s="61">
        <f>G10*2%</f>
        <v>0</v>
      </c>
      <c r="H15" s="61">
        <f>11000*2%</f>
        <v>220</v>
      </c>
      <c r="I15" s="61">
        <f t="shared" ref="I15:M15" si="0">I10*2%</f>
        <v>0</v>
      </c>
      <c r="J15" s="61">
        <f t="shared" si="0"/>
        <v>0</v>
      </c>
      <c r="K15" s="61">
        <f t="shared" si="0"/>
        <v>0</v>
      </c>
      <c r="L15" s="61">
        <f t="shared" si="0"/>
        <v>0</v>
      </c>
      <c r="M15" s="61">
        <f t="shared" si="0"/>
        <v>0</v>
      </c>
    </row>
    <row r="16" spans="2:22" x14ac:dyDescent="0.3">
      <c r="B16" s="61"/>
      <c r="C16" s="61"/>
      <c r="D16" s="62">
        <f>20000-D15</f>
        <v>19600</v>
      </c>
      <c r="E16" s="63"/>
      <c r="F16" s="62">
        <f>30000-F15</f>
        <v>29400</v>
      </c>
      <c r="G16" s="62">
        <f>G10-G15</f>
        <v>0</v>
      </c>
      <c r="H16" s="62">
        <f>11000-H15</f>
        <v>10780</v>
      </c>
      <c r="I16" s="62">
        <f t="shared" ref="I16:M16" si="1">I10-I15</f>
        <v>0</v>
      </c>
      <c r="J16" s="62">
        <f t="shared" si="1"/>
        <v>0</v>
      </c>
      <c r="K16" s="62">
        <f t="shared" si="1"/>
        <v>0</v>
      </c>
      <c r="L16" s="62">
        <f t="shared" si="1"/>
        <v>0</v>
      </c>
      <c r="M16" s="62">
        <f t="shared" si="1"/>
        <v>0</v>
      </c>
      <c r="O16" s="6">
        <f>SUM(D16:M16)</f>
        <v>59780</v>
      </c>
      <c r="P16" s="57">
        <v>0.02</v>
      </c>
    </row>
    <row r="18" spans="2:17" ht="167.4" customHeight="1" x14ac:dyDescent="0.3"/>
    <row r="20" spans="2:17" ht="15" thickBot="1" x14ac:dyDescent="0.35"/>
    <row r="21" spans="2:17" ht="39" customHeight="1" thickBot="1" x14ac:dyDescent="0.35">
      <c r="B21" s="105">
        <v>0.01</v>
      </c>
      <c r="C21" s="103" t="s">
        <v>1</v>
      </c>
      <c r="D21" s="103"/>
      <c r="E21" s="104"/>
      <c r="F21" s="10" t="s">
        <v>2</v>
      </c>
      <c r="G21" s="10" t="s">
        <v>3</v>
      </c>
      <c r="H21" s="11" t="s">
        <v>6</v>
      </c>
      <c r="I21" s="11" t="s">
        <v>7</v>
      </c>
      <c r="J21" s="11" t="s">
        <v>8</v>
      </c>
      <c r="K21" s="11" t="s">
        <v>9</v>
      </c>
      <c r="L21" s="11" t="s">
        <v>11</v>
      </c>
      <c r="M21" s="11" t="s">
        <v>12</v>
      </c>
    </row>
    <row r="22" spans="2:17" x14ac:dyDescent="0.3">
      <c r="B22" s="106"/>
      <c r="C22" s="3" t="s">
        <v>13</v>
      </c>
      <c r="D22" s="4" t="s">
        <v>14</v>
      </c>
      <c r="E22" s="4" t="s">
        <v>15</v>
      </c>
      <c r="F22" s="27"/>
      <c r="G22" s="27"/>
      <c r="H22" s="27"/>
      <c r="I22" s="27"/>
      <c r="J22" s="27"/>
      <c r="K22" s="27"/>
      <c r="L22" s="27"/>
      <c r="M22" s="28"/>
    </row>
    <row r="23" spans="2:17" s="8" customFormat="1" ht="88.95" customHeight="1" x14ac:dyDescent="0.3">
      <c r="B23" s="16" t="s">
        <v>0</v>
      </c>
      <c r="C23" s="65">
        <v>0</v>
      </c>
      <c r="D23" s="66">
        <v>19800</v>
      </c>
      <c r="E23" s="66">
        <v>0</v>
      </c>
      <c r="F23" s="67">
        <v>29700</v>
      </c>
      <c r="G23" s="67">
        <v>4950</v>
      </c>
      <c r="H23" s="67">
        <v>10890</v>
      </c>
      <c r="I23" s="67">
        <v>14850</v>
      </c>
      <c r="J23" s="67">
        <v>3960</v>
      </c>
      <c r="K23" s="67">
        <v>8910</v>
      </c>
      <c r="L23" s="67">
        <v>4980</v>
      </c>
      <c r="M23" s="68">
        <v>990</v>
      </c>
    </row>
    <row r="24" spans="2:17" x14ac:dyDescent="0.3">
      <c r="B24" s="17" t="s">
        <v>28</v>
      </c>
      <c r="C24" s="14">
        <v>0</v>
      </c>
      <c r="D24" s="56">
        <v>11</v>
      </c>
      <c r="E24" s="1">
        <v>0</v>
      </c>
      <c r="F24" s="1">
        <v>6</v>
      </c>
      <c r="G24" s="1">
        <v>6</v>
      </c>
      <c r="H24" s="1">
        <v>6</v>
      </c>
      <c r="I24" s="1">
        <v>6</v>
      </c>
      <c r="J24" s="1">
        <v>11</v>
      </c>
      <c r="K24" s="1">
        <v>11</v>
      </c>
      <c r="L24" s="1">
        <v>0</v>
      </c>
      <c r="M24" s="2">
        <v>0</v>
      </c>
    </row>
    <row r="25" spans="2:17" ht="15" thickBot="1" x14ac:dyDescent="0.35">
      <c r="B25" s="18" t="s">
        <v>30</v>
      </c>
      <c r="C25" s="15">
        <v>0</v>
      </c>
      <c r="D25" s="12">
        <v>6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12">
        <v>7.5</v>
      </c>
      <c r="K25" s="12">
        <v>0</v>
      </c>
      <c r="L25" s="12">
        <v>5</v>
      </c>
      <c r="M25" s="21">
        <v>50</v>
      </c>
    </row>
    <row r="26" spans="2:17" s="19" customFormat="1" ht="26.25" customHeight="1" thickBot="1" x14ac:dyDescent="0.35">
      <c r="B26" s="22" t="s">
        <v>29</v>
      </c>
      <c r="C26" s="23"/>
      <c r="D26" s="24">
        <f>D23*17</f>
        <v>336600</v>
      </c>
      <c r="E26" s="25"/>
      <c r="F26" s="24">
        <f>F23*6</f>
        <v>178200</v>
      </c>
      <c r="G26" s="24">
        <f>G23*G24</f>
        <v>29700</v>
      </c>
      <c r="H26" s="24">
        <f>H23*6</f>
        <v>65340</v>
      </c>
      <c r="I26" s="24">
        <f>I23*I24</f>
        <v>89100</v>
      </c>
      <c r="J26" s="24">
        <f>J23*18.5</f>
        <v>73260</v>
      </c>
      <c r="K26" s="24">
        <f>K23*K24</f>
        <v>98010</v>
      </c>
      <c r="L26" s="24">
        <f>L23*5</f>
        <v>24900</v>
      </c>
      <c r="M26" s="26">
        <f>M23*50</f>
        <v>49500</v>
      </c>
      <c r="O26" s="20">
        <f>SUM(D26:M26)</f>
        <v>944610</v>
      </c>
      <c r="Q26" s="20">
        <f>O49-O26</f>
        <v>4170</v>
      </c>
    </row>
    <row r="28" spans="2:17" ht="15" thickBot="1" x14ac:dyDescent="0.35"/>
    <row r="29" spans="2:17" ht="39" customHeight="1" thickBot="1" x14ac:dyDescent="0.35">
      <c r="B29" s="105">
        <v>0.02</v>
      </c>
      <c r="C29" s="103" t="s">
        <v>1</v>
      </c>
      <c r="D29" s="103"/>
      <c r="E29" s="104"/>
      <c r="F29" s="10" t="s">
        <v>2</v>
      </c>
      <c r="G29" s="10" t="s">
        <v>3</v>
      </c>
      <c r="H29" s="11" t="s">
        <v>6</v>
      </c>
      <c r="I29" s="11" t="s">
        <v>7</v>
      </c>
      <c r="J29" s="11" t="s">
        <v>8</v>
      </c>
      <c r="K29" s="11" t="s">
        <v>9</v>
      </c>
      <c r="L29" s="11" t="s">
        <v>11</v>
      </c>
      <c r="M29" s="11" t="s">
        <v>12</v>
      </c>
    </row>
    <row r="30" spans="2:17" x14ac:dyDescent="0.3">
      <c r="B30" s="106"/>
      <c r="C30" s="3" t="s">
        <v>13</v>
      </c>
      <c r="D30" s="4" t="s">
        <v>14</v>
      </c>
      <c r="E30" s="4" t="s">
        <v>15</v>
      </c>
      <c r="F30" s="27"/>
      <c r="G30" s="27"/>
      <c r="H30" s="27"/>
      <c r="I30" s="27"/>
      <c r="J30" s="27"/>
      <c r="K30" s="27"/>
      <c r="L30" s="27"/>
      <c r="M30" s="28"/>
    </row>
    <row r="31" spans="2:17" s="8" customFormat="1" ht="88.95" customHeight="1" x14ac:dyDescent="0.3">
      <c r="B31" s="16" t="s">
        <v>0</v>
      </c>
      <c r="C31" s="65">
        <v>0</v>
      </c>
      <c r="D31" s="66">
        <v>19600</v>
      </c>
      <c r="E31" s="66">
        <v>0</v>
      </c>
      <c r="F31" s="67">
        <v>29400</v>
      </c>
      <c r="G31" s="67">
        <v>4900</v>
      </c>
      <c r="H31" s="67">
        <v>10780</v>
      </c>
      <c r="I31" s="67">
        <v>14700</v>
      </c>
      <c r="J31" s="67">
        <v>3920</v>
      </c>
      <c r="K31" s="67">
        <v>8820</v>
      </c>
      <c r="L31" s="67">
        <v>4900</v>
      </c>
      <c r="M31" s="68">
        <v>980</v>
      </c>
    </row>
    <row r="32" spans="2:17" x14ac:dyDescent="0.3">
      <c r="B32" s="17" t="s">
        <v>28</v>
      </c>
      <c r="C32" s="14">
        <v>0</v>
      </c>
      <c r="D32" s="56">
        <v>11</v>
      </c>
      <c r="E32" s="1">
        <v>0</v>
      </c>
      <c r="F32" s="1">
        <v>6</v>
      </c>
      <c r="G32" s="1">
        <v>6</v>
      </c>
      <c r="H32" s="1">
        <v>6</v>
      </c>
      <c r="I32" s="1">
        <v>6</v>
      </c>
      <c r="J32" s="1">
        <v>11</v>
      </c>
      <c r="K32" s="1">
        <v>11</v>
      </c>
      <c r="L32" s="1">
        <v>0</v>
      </c>
      <c r="M32" s="2">
        <v>0</v>
      </c>
    </row>
    <row r="33" spans="2:17" ht="15" thickBot="1" x14ac:dyDescent="0.35">
      <c r="B33" s="18" t="s">
        <v>30</v>
      </c>
      <c r="C33" s="15">
        <v>0</v>
      </c>
      <c r="D33" s="12">
        <v>6</v>
      </c>
      <c r="E33" s="12">
        <v>0</v>
      </c>
      <c r="F33" s="12">
        <v>0</v>
      </c>
      <c r="G33" s="12">
        <v>0</v>
      </c>
      <c r="H33" s="12">
        <v>0</v>
      </c>
      <c r="I33" s="12">
        <v>0</v>
      </c>
      <c r="J33" s="12">
        <v>7.5</v>
      </c>
      <c r="K33" s="12">
        <v>0</v>
      </c>
      <c r="L33" s="12">
        <v>5</v>
      </c>
      <c r="M33" s="21">
        <v>50</v>
      </c>
    </row>
    <row r="34" spans="2:17" s="19" customFormat="1" ht="26.25" customHeight="1" thickBot="1" x14ac:dyDescent="0.35">
      <c r="B34" s="22" t="s">
        <v>29</v>
      </c>
      <c r="C34" s="23"/>
      <c r="D34" s="24">
        <f>D31*17</f>
        <v>333200</v>
      </c>
      <c r="E34" s="25"/>
      <c r="F34" s="24">
        <f>F31*6</f>
        <v>176400</v>
      </c>
      <c r="G34" s="24">
        <f>G31*G32</f>
        <v>29400</v>
      </c>
      <c r="H34" s="24">
        <f>H31*6</f>
        <v>64680</v>
      </c>
      <c r="I34" s="24">
        <f>I31*I32</f>
        <v>88200</v>
      </c>
      <c r="J34" s="24">
        <f>J31*18.5</f>
        <v>72520</v>
      </c>
      <c r="K34" s="24">
        <f>K31*K32</f>
        <v>97020</v>
      </c>
      <c r="L34" s="24">
        <f>L31*5</f>
        <v>24500</v>
      </c>
      <c r="M34" s="26">
        <f>M31*50</f>
        <v>49000</v>
      </c>
      <c r="O34" s="20">
        <f>SUM(D34:M34)</f>
        <v>934920</v>
      </c>
      <c r="Q34" s="20">
        <f>O49-O34</f>
        <v>13860</v>
      </c>
    </row>
    <row r="35" spans="2:17" ht="15" thickBot="1" x14ac:dyDescent="0.35"/>
    <row r="36" spans="2:17" ht="39" customHeight="1" thickBot="1" x14ac:dyDescent="0.35">
      <c r="B36" s="105">
        <v>0.03</v>
      </c>
      <c r="C36" s="103" t="s">
        <v>1</v>
      </c>
      <c r="D36" s="103"/>
      <c r="E36" s="104"/>
      <c r="F36" s="10" t="s">
        <v>2</v>
      </c>
      <c r="G36" s="10" t="s">
        <v>3</v>
      </c>
      <c r="H36" s="11" t="s">
        <v>6</v>
      </c>
      <c r="I36" s="11" t="s">
        <v>7</v>
      </c>
      <c r="J36" s="11" t="s">
        <v>8</v>
      </c>
      <c r="K36" s="11" t="s">
        <v>9</v>
      </c>
      <c r="L36" s="11" t="s">
        <v>11</v>
      </c>
      <c r="M36" s="11" t="s">
        <v>12</v>
      </c>
    </row>
    <row r="37" spans="2:17" x14ac:dyDescent="0.3">
      <c r="B37" s="106"/>
      <c r="C37" s="3" t="s">
        <v>13</v>
      </c>
      <c r="D37" s="4" t="s">
        <v>14</v>
      </c>
      <c r="E37" s="4" t="s">
        <v>15</v>
      </c>
      <c r="F37" s="27"/>
      <c r="G37" s="27"/>
      <c r="H37" s="27"/>
      <c r="I37" s="27"/>
      <c r="J37" s="27"/>
      <c r="K37" s="27"/>
      <c r="L37" s="27"/>
      <c r="M37" s="28"/>
    </row>
    <row r="38" spans="2:17" s="8" customFormat="1" ht="88.95" customHeight="1" x14ac:dyDescent="0.3">
      <c r="B38" s="16" t="s">
        <v>0</v>
      </c>
      <c r="C38" s="65">
        <v>0</v>
      </c>
      <c r="D38" s="66">
        <v>19400</v>
      </c>
      <c r="E38" s="66">
        <v>0</v>
      </c>
      <c r="F38" s="67">
        <v>29100</v>
      </c>
      <c r="G38" s="67">
        <v>4850</v>
      </c>
      <c r="H38" s="67">
        <v>10670</v>
      </c>
      <c r="I38" s="67">
        <v>14550</v>
      </c>
      <c r="J38" s="67">
        <v>3920</v>
      </c>
      <c r="K38" s="67">
        <v>8820</v>
      </c>
      <c r="L38" s="67">
        <v>4900</v>
      </c>
      <c r="M38" s="68">
        <v>980</v>
      </c>
    </row>
    <row r="39" spans="2:17" x14ac:dyDescent="0.3">
      <c r="B39" s="17" t="s">
        <v>28</v>
      </c>
      <c r="C39" s="14">
        <v>0</v>
      </c>
      <c r="D39" s="56">
        <v>11</v>
      </c>
      <c r="E39" s="1">
        <v>0</v>
      </c>
      <c r="F39" s="1">
        <v>6</v>
      </c>
      <c r="G39" s="1">
        <v>6</v>
      </c>
      <c r="H39" s="1">
        <v>6</v>
      </c>
      <c r="I39" s="1">
        <v>6</v>
      </c>
      <c r="J39" s="1">
        <v>11</v>
      </c>
      <c r="K39" s="1">
        <v>11</v>
      </c>
      <c r="L39" s="1">
        <v>0</v>
      </c>
      <c r="M39" s="2">
        <v>0</v>
      </c>
    </row>
    <row r="40" spans="2:17" ht="15" thickBot="1" x14ac:dyDescent="0.35">
      <c r="B40" s="18" t="s">
        <v>30</v>
      </c>
      <c r="C40" s="15">
        <v>0</v>
      </c>
      <c r="D40" s="12">
        <v>6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7.5</v>
      </c>
      <c r="K40" s="12">
        <v>0</v>
      </c>
      <c r="L40" s="12">
        <v>5</v>
      </c>
      <c r="M40" s="21">
        <v>50</v>
      </c>
    </row>
    <row r="41" spans="2:17" s="19" customFormat="1" ht="26.25" customHeight="1" thickBot="1" x14ac:dyDescent="0.35">
      <c r="B41" s="22" t="s">
        <v>29</v>
      </c>
      <c r="C41" s="23"/>
      <c r="D41" s="24">
        <f>D38*17</f>
        <v>329800</v>
      </c>
      <c r="E41" s="25"/>
      <c r="F41" s="24">
        <f>F38*6</f>
        <v>174600</v>
      </c>
      <c r="G41" s="24">
        <f>G38*G39</f>
        <v>29100</v>
      </c>
      <c r="H41" s="24">
        <f>H38*6</f>
        <v>64020</v>
      </c>
      <c r="I41" s="24">
        <f>I38*I39</f>
        <v>87300</v>
      </c>
      <c r="J41" s="24">
        <f>J38*18.5</f>
        <v>72520</v>
      </c>
      <c r="K41" s="24">
        <f>K38*K39</f>
        <v>97020</v>
      </c>
      <c r="L41" s="24">
        <f>L38*5</f>
        <v>24500</v>
      </c>
      <c r="M41" s="26">
        <f>M38*50</f>
        <v>49000</v>
      </c>
      <c r="O41" s="20">
        <f>SUM(D41:M41)</f>
        <v>927860</v>
      </c>
      <c r="Q41" s="20">
        <f>O56-O41</f>
        <v>-831185.8</v>
      </c>
    </row>
    <row r="43" spans="2:17" ht="15" thickBot="1" x14ac:dyDescent="0.35"/>
    <row r="44" spans="2:17" ht="39" customHeight="1" thickBot="1" x14ac:dyDescent="0.35">
      <c r="B44" s="101"/>
      <c r="C44" s="103" t="s">
        <v>1</v>
      </c>
      <c r="D44" s="103"/>
      <c r="E44" s="104"/>
      <c r="F44" s="10" t="s">
        <v>2</v>
      </c>
      <c r="G44" s="10" t="s">
        <v>3</v>
      </c>
      <c r="H44" s="11" t="s">
        <v>6</v>
      </c>
      <c r="I44" s="11" t="s">
        <v>7</v>
      </c>
      <c r="J44" s="11" t="s">
        <v>8</v>
      </c>
      <c r="K44" s="11" t="s">
        <v>9</v>
      </c>
      <c r="L44" s="11" t="s">
        <v>11</v>
      </c>
      <c r="M44" s="11" t="s">
        <v>12</v>
      </c>
    </row>
    <row r="45" spans="2:17" x14ac:dyDescent="0.3">
      <c r="B45" s="102"/>
      <c r="C45" s="3" t="s">
        <v>13</v>
      </c>
      <c r="D45" s="4" t="s">
        <v>14</v>
      </c>
      <c r="E45" s="4" t="s">
        <v>15</v>
      </c>
      <c r="F45" s="27"/>
      <c r="G45" s="27"/>
      <c r="H45" s="27"/>
      <c r="I45" s="27"/>
      <c r="J45" s="27"/>
      <c r="K45" s="27"/>
      <c r="L45" s="27"/>
      <c r="M45" s="28"/>
    </row>
    <row r="46" spans="2:17" s="8" customFormat="1" ht="88.95" customHeight="1" x14ac:dyDescent="0.3">
      <c r="B46" s="16" t="s">
        <v>0</v>
      </c>
      <c r="C46" s="13">
        <v>0</v>
      </c>
      <c r="D46" s="7">
        <v>20000</v>
      </c>
      <c r="E46" s="7">
        <v>0</v>
      </c>
      <c r="F46" s="29">
        <v>30000</v>
      </c>
      <c r="G46" s="29">
        <v>5000</v>
      </c>
      <c r="H46" s="29">
        <v>11000</v>
      </c>
      <c r="I46" s="29">
        <v>15000</v>
      </c>
      <c r="J46" s="29">
        <v>4000</v>
      </c>
      <c r="K46" s="29">
        <v>8730</v>
      </c>
      <c r="L46" s="29">
        <v>4850</v>
      </c>
      <c r="M46" s="30">
        <v>970</v>
      </c>
    </row>
    <row r="47" spans="2:17" x14ac:dyDescent="0.3">
      <c r="B47" s="17" t="s">
        <v>28</v>
      </c>
      <c r="C47" s="14">
        <v>0</v>
      </c>
      <c r="D47" s="56">
        <v>11</v>
      </c>
      <c r="E47" s="1">
        <v>0</v>
      </c>
      <c r="F47" s="1">
        <v>6</v>
      </c>
      <c r="G47" s="1">
        <v>6</v>
      </c>
      <c r="H47" s="1">
        <v>6</v>
      </c>
      <c r="I47" s="1">
        <v>6</v>
      </c>
      <c r="J47" s="1">
        <v>11</v>
      </c>
      <c r="K47" s="1">
        <v>11</v>
      </c>
      <c r="L47" s="1">
        <v>0</v>
      </c>
      <c r="M47" s="2">
        <v>0</v>
      </c>
    </row>
    <row r="48" spans="2:17" ht="15" thickBot="1" x14ac:dyDescent="0.35">
      <c r="B48" s="18" t="s">
        <v>30</v>
      </c>
      <c r="C48" s="15">
        <v>0</v>
      </c>
      <c r="D48" s="12">
        <v>6</v>
      </c>
      <c r="E48" s="12">
        <v>0</v>
      </c>
      <c r="F48" s="12">
        <v>0</v>
      </c>
      <c r="G48" s="12">
        <v>0</v>
      </c>
      <c r="H48" s="12">
        <v>0</v>
      </c>
      <c r="I48" s="12">
        <v>0</v>
      </c>
      <c r="J48" s="12">
        <v>7.5</v>
      </c>
      <c r="K48" s="12">
        <v>0</v>
      </c>
      <c r="L48" s="12">
        <v>5</v>
      </c>
      <c r="M48" s="21">
        <v>50</v>
      </c>
    </row>
    <row r="49" spans="2:16" s="19" customFormat="1" ht="26.25" customHeight="1" thickBot="1" x14ac:dyDescent="0.35">
      <c r="B49" s="22" t="s">
        <v>29</v>
      </c>
      <c r="C49" s="23"/>
      <c r="D49" s="24">
        <f>D46*17</f>
        <v>340000</v>
      </c>
      <c r="E49" s="25"/>
      <c r="F49" s="24">
        <f>F46*6</f>
        <v>180000</v>
      </c>
      <c r="G49" s="24">
        <f>G46*G47</f>
        <v>30000</v>
      </c>
      <c r="H49" s="24">
        <f>H46*6</f>
        <v>66000</v>
      </c>
      <c r="I49" s="24">
        <f>I46*I47</f>
        <v>90000</v>
      </c>
      <c r="J49" s="24">
        <f>J46*18.5</f>
        <v>74000</v>
      </c>
      <c r="K49" s="24">
        <f>K46*K47</f>
        <v>96030</v>
      </c>
      <c r="L49" s="24">
        <f>L46*5</f>
        <v>24250</v>
      </c>
      <c r="M49" s="26">
        <f>M46*50</f>
        <v>48500</v>
      </c>
      <c r="O49" s="20">
        <f>SUM(D49:M49)</f>
        <v>948780</v>
      </c>
    </row>
    <row r="51" spans="2:16" x14ac:dyDescent="0.3">
      <c r="B51" s="57">
        <v>0.01</v>
      </c>
      <c r="D51" s="61">
        <f>20000*1%</f>
        <v>200</v>
      </c>
      <c r="E51" s="61"/>
      <c r="F51" s="61">
        <f>30000*1%</f>
        <v>300</v>
      </c>
      <c r="G51" s="61">
        <f>G46*1%</f>
        <v>50</v>
      </c>
      <c r="H51" s="61">
        <f t="shared" ref="H51:M51" si="2">H46*1%</f>
        <v>110</v>
      </c>
      <c r="I51" s="61">
        <f t="shared" si="2"/>
        <v>150</v>
      </c>
      <c r="J51" s="61">
        <f t="shared" si="2"/>
        <v>40</v>
      </c>
      <c r="K51" s="61">
        <f t="shared" si="2"/>
        <v>87.3</v>
      </c>
      <c r="L51" s="61">
        <f t="shared" si="2"/>
        <v>48.5</v>
      </c>
      <c r="M51" s="61">
        <f t="shared" si="2"/>
        <v>9.7000000000000011</v>
      </c>
      <c r="O51" s="6"/>
    </row>
    <row r="52" spans="2:16" x14ac:dyDescent="0.3">
      <c r="B52" s="57"/>
      <c r="D52" s="62">
        <f>20000-D51</f>
        <v>19800</v>
      </c>
      <c r="E52" s="63"/>
      <c r="F52" s="62">
        <f>30000-F51</f>
        <v>29700</v>
      </c>
      <c r="G52" s="62">
        <f>G46-G51</f>
        <v>4950</v>
      </c>
      <c r="H52" s="62">
        <f t="shared" ref="H52:M52" si="3">H46-H51</f>
        <v>10890</v>
      </c>
      <c r="I52" s="62">
        <f t="shared" si="3"/>
        <v>14850</v>
      </c>
      <c r="J52" s="62">
        <f t="shared" si="3"/>
        <v>3960</v>
      </c>
      <c r="K52" s="62">
        <f t="shared" si="3"/>
        <v>8642.7000000000007</v>
      </c>
      <c r="L52" s="62">
        <f t="shared" si="3"/>
        <v>4801.5</v>
      </c>
      <c r="M52" s="62">
        <f t="shared" si="3"/>
        <v>960.3</v>
      </c>
      <c r="O52" s="6">
        <f>SUM(D52:M52)</f>
        <v>98554.5</v>
      </c>
      <c r="P52" s="57">
        <v>0.01</v>
      </c>
    </row>
    <row r="53" spans="2:16" x14ac:dyDescent="0.3">
      <c r="B53" s="57">
        <v>0.02</v>
      </c>
      <c r="D53" s="61">
        <f>D46*2%</f>
        <v>400</v>
      </c>
      <c r="E53" s="61"/>
      <c r="F53" s="61">
        <f>30000*2%</f>
        <v>600</v>
      </c>
      <c r="G53" s="61">
        <f t="shared" ref="G53:M53" si="4">G46*2%</f>
        <v>100</v>
      </c>
      <c r="H53" s="61">
        <f t="shared" si="4"/>
        <v>220</v>
      </c>
      <c r="I53" s="61">
        <f t="shared" si="4"/>
        <v>300</v>
      </c>
      <c r="J53" s="61">
        <f t="shared" si="4"/>
        <v>80</v>
      </c>
      <c r="K53" s="61">
        <f t="shared" si="4"/>
        <v>174.6</v>
      </c>
      <c r="L53" s="61">
        <f t="shared" si="4"/>
        <v>97</v>
      </c>
      <c r="M53" s="61">
        <f t="shared" si="4"/>
        <v>19.400000000000002</v>
      </c>
    </row>
    <row r="54" spans="2:16" x14ac:dyDescent="0.3">
      <c r="D54" s="62">
        <f>20000-D53</f>
        <v>19600</v>
      </c>
      <c r="E54" s="63"/>
      <c r="F54" s="62">
        <f>30000-F53</f>
        <v>29400</v>
      </c>
      <c r="G54" s="62">
        <f>G46-G53</f>
        <v>4900</v>
      </c>
      <c r="H54" s="62">
        <f t="shared" ref="H54:M54" si="5">H46-H53</f>
        <v>10780</v>
      </c>
      <c r="I54" s="62">
        <f t="shared" si="5"/>
        <v>14700</v>
      </c>
      <c r="J54" s="62">
        <f t="shared" si="5"/>
        <v>3920</v>
      </c>
      <c r="K54" s="62">
        <f t="shared" si="5"/>
        <v>8555.4</v>
      </c>
      <c r="L54" s="62">
        <f t="shared" si="5"/>
        <v>4753</v>
      </c>
      <c r="M54" s="62">
        <f t="shared" si="5"/>
        <v>950.6</v>
      </c>
      <c r="O54" s="6">
        <f>SUM(D54:M54)</f>
        <v>97559</v>
      </c>
      <c r="P54" s="57">
        <v>0.02</v>
      </c>
    </row>
    <row r="55" spans="2:16" x14ac:dyDescent="0.3">
      <c r="B55" s="57">
        <v>0.03</v>
      </c>
      <c r="D55" s="61">
        <f>D46*3%</f>
        <v>600</v>
      </c>
      <c r="E55" s="61"/>
      <c r="F55" s="61">
        <f>30000*3%</f>
        <v>900</v>
      </c>
      <c r="G55" s="61">
        <f>G46*3%</f>
        <v>150</v>
      </c>
      <c r="H55" s="61">
        <f>H46*3%</f>
        <v>330</v>
      </c>
      <c r="I55" s="61">
        <f>I46*3%</f>
        <v>450</v>
      </c>
      <c r="J55" s="61">
        <f>J46*3%%</f>
        <v>1.2</v>
      </c>
      <c r="K55" s="61">
        <f>9000*3%</f>
        <v>270</v>
      </c>
      <c r="L55" s="61">
        <f>L46*3%</f>
        <v>145.5</v>
      </c>
      <c r="M55" s="61">
        <f>M46*3%</f>
        <v>29.099999999999998</v>
      </c>
    </row>
    <row r="56" spans="2:16" x14ac:dyDescent="0.3">
      <c r="D56" s="64">
        <f>20000-D55</f>
        <v>19400</v>
      </c>
      <c r="E56" s="61"/>
      <c r="F56" s="64">
        <f>30000-F55</f>
        <v>29100</v>
      </c>
      <c r="G56" s="64">
        <f>G46-G55</f>
        <v>4850</v>
      </c>
      <c r="H56" s="64">
        <f t="shared" ref="H56:M56" si="6">H46-H55</f>
        <v>10670</v>
      </c>
      <c r="I56" s="64">
        <f t="shared" si="6"/>
        <v>14550</v>
      </c>
      <c r="J56" s="64">
        <f t="shared" si="6"/>
        <v>3998.8</v>
      </c>
      <c r="K56" s="64">
        <f t="shared" si="6"/>
        <v>8460</v>
      </c>
      <c r="L56" s="64">
        <f t="shared" si="6"/>
        <v>4704.5</v>
      </c>
      <c r="M56" s="64">
        <f t="shared" si="6"/>
        <v>940.9</v>
      </c>
      <c r="O56" s="6">
        <f>SUM(D56:M57)</f>
        <v>96674.2</v>
      </c>
      <c r="P56" s="57">
        <v>0.03</v>
      </c>
    </row>
    <row r="57" spans="2:16" x14ac:dyDescent="0.3">
      <c r="D57" s="61"/>
      <c r="E57" s="61"/>
      <c r="F57" s="61"/>
      <c r="G57" s="61"/>
      <c r="H57" s="61"/>
      <c r="I57" s="61"/>
      <c r="J57" s="61"/>
      <c r="K57" s="61"/>
      <c r="L57" s="61"/>
      <c r="M57" s="61"/>
      <c r="O57" s="20"/>
    </row>
    <row r="59" spans="2:16" x14ac:dyDescent="0.3">
      <c r="B59" t="s">
        <v>42</v>
      </c>
    </row>
    <row r="60" spans="2:16" ht="15" thickBot="1" x14ac:dyDescent="0.35"/>
    <row r="61" spans="2:16" ht="39" customHeight="1" thickBot="1" x14ac:dyDescent="0.35">
      <c r="B61" s="101"/>
      <c r="C61" s="103" t="s">
        <v>1</v>
      </c>
      <c r="D61" s="103"/>
      <c r="E61" s="104"/>
      <c r="F61" s="10" t="s">
        <v>2</v>
      </c>
      <c r="G61" s="10" t="s">
        <v>3</v>
      </c>
      <c r="H61" s="11" t="s">
        <v>6</v>
      </c>
      <c r="I61" s="11" t="s">
        <v>7</v>
      </c>
      <c r="J61" s="11" t="s">
        <v>8</v>
      </c>
      <c r="K61" s="11" t="s">
        <v>9</v>
      </c>
      <c r="L61" s="11" t="s">
        <v>11</v>
      </c>
      <c r="M61" s="11" t="s">
        <v>12</v>
      </c>
    </row>
    <row r="62" spans="2:16" x14ac:dyDescent="0.3">
      <c r="B62" s="102"/>
      <c r="C62" s="3" t="s">
        <v>13</v>
      </c>
      <c r="D62" s="4" t="s">
        <v>14</v>
      </c>
      <c r="E62" s="4" t="s">
        <v>15</v>
      </c>
      <c r="F62" s="27"/>
      <c r="G62" s="27"/>
      <c r="H62" s="27"/>
      <c r="I62" s="27"/>
      <c r="J62" s="27"/>
      <c r="K62" s="27"/>
      <c r="L62" s="27"/>
      <c r="M62" s="28"/>
    </row>
    <row r="63" spans="2:16" s="8" customFormat="1" ht="88.95" customHeight="1" x14ac:dyDescent="0.3">
      <c r="B63" s="16" t="s">
        <v>0</v>
      </c>
      <c r="C63" s="13">
        <v>0</v>
      </c>
      <c r="D63" s="7">
        <v>20000</v>
      </c>
      <c r="E63" s="7">
        <v>0</v>
      </c>
      <c r="F63" s="29">
        <v>30000</v>
      </c>
      <c r="G63" s="29">
        <v>5000</v>
      </c>
      <c r="H63" s="29">
        <v>11000</v>
      </c>
      <c r="I63" s="29">
        <v>15000</v>
      </c>
      <c r="J63" s="29">
        <v>4000</v>
      </c>
      <c r="K63" s="29">
        <v>9000</v>
      </c>
      <c r="L63" s="29">
        <v>5000</v>
      </c>
      <c r="M63" s="30">
        <v>1000</v>
      </c>
    </row>
    <row r="64" spans="2:16" x14ac:dyDescent="0.3">
      <c r="B64" s="17" t="s">
        <v>28</v>
      </c>
      <c r="C64" s="14">
        <v>0</v>
      </c>
      <c r="D64" s="56">
        <v>11</v>
      </c>
      <c r="E64" s="1">
        <v>0</v>
      </c>
      <c r="F64" s="1">
        <v>6</v>
      </c>
      <c r="G64" s="1">
        <v>6</v>
      </c>
      <c r="H64" s="1">
        <v>6</v>
      </c>
      <c r="I64" s="1">
        <v>6</v>
      </c>
      <c r="J64" s="1">
        <v>11</v>
      </c>
      <c r="K64" s="1">
        <v>11</v>
      </c>
      <c r="L64" s="1">
        <v>0</v>
      </c>
      <c r="M64" s="2">
        <v>0</v>
      </c>
    </row>
    <row r="65" spans="2:16" ht="15" thickBot="1" x14ac:dyDescent="0.35">
      <c r="B65" s="18" t="s">
        <v>30</v>
      </c>
      <c r="C65" s="15">
        <v>0</v>
      </c>
      <c r="D65" s="12">
        <v>6</v>
      </c>
      <c r="E65" s="12">
        <v>0</v>
      </c>
      <c r="F65" s="12">
        <v>0</v>
      </c>
      <c r="G65" s="12">
        <v>0</v>
      </c>
      <c r="H65" s="12">
        <v>0</v>
      </c>
      <c r="I65" s="12">
        <v>0</v>
      </c>
      <c r="J65" s="12">
        <v>7.5</v>
      </c>
      <c r="K65" s="12">
        <v>0</v>
      </c>
      <c r="L65" s="12">
        <v>5</v>
      </c>
      <c r="M65" s="21">
        <v>50</v>
      </c>
    </row>
    <row r="66" spans="2:16" s="19" customFormat="1" ht="26.25" customHeight="1" thickBot="1" x14ac:dyDescent="0.35">
      <c r="B66" s="22" t="s">
        <v>29</v>
      </c>
      <c r="C66" s="23"/>
      <c r="D66" s="24">
        <f>D63*17</f>
        <v>340000</v>
      </c>
      <c r="E66" s="25"/>
      <c r="F66" s="24">
        <f>F63*6</f>
        <v>180000</v>
      </c>
      <c r="G66" s="24">
        <f>G63*G64</f>
        <v>30000</v>
      </c>
      <c r="H66" s="24">
        <f>H63*6</f>
        <v>66000</v>
      </c>
      <c r="I66" s="24">
        <f>I63*I64</f>
        <v>90000</v>
      </c>
      <c r="J66" s="24">
        <f>J63*18.5</f>
        <v>74000</v>
      </c>
      <c r="K66" s="24">
        <f>K63*K64</f>
        <v>99000</v>
      </c>
      <c r="L66" s="24">
        <f>L63*5</f>
        <v>25000</v>
      </c>
      <c r="M66" s="26">
        <f>M63*50</f>
        <v>50000</v>
      </c>
      <c r="O66" s="20">
        <f>SUM(D66:M66)</f>
        <v>954000</v>
      </c>
    </row>
    <row r="67" spans="2:16" x14ac:dyDescent="0.3">
      <c r="O67" s="6">
        <f>O66*1%</f>
        <v>9540</v>
      </c>
      <c r="P67" s="57">
        <v>0.01</v>
      </c>
    </row>
    <row r="68" spans="2:16" x14ac:dyDescent="0.3">
      <c r="O68" s="60">
        <f>O66-O67</f>
        <v>944460</v>
      </c>
    </row>
    <row r="70" spans="2:16" x14ac:dyDescent="0.3">
      <c r="O70" s="6">
        <f>O66*2%</f>
        <v>19080</v>
      </c>
      <c r="P70" s="57">
        <v>0.02</v>
      </c>
    </row>
    <row r="71" spans="2:16" x14ac:dyDescent="0.3">
      <c r="O71" s="60">
        <f>O66-O70</f>
        <v>934920</v>
      </c>
    </row>
    <row r="73" spans="2:16" x14ac:dyDescent="0.3">
      <c r="O73" s="6">
        <f>O66*3%</f>
        <v>28620</v>
      </c>
      <c r="P73" s="57">
        <v>0.03</v>
      </c>
    </row>
    <row r="74" spans="2:16" x14ac:dyDescent="0.3">
      <c r="O74" s="60">
        <f>O66-O73</f>
        <v>925380</v>
      </c>
    </row>
  </sheetData>
  <mergeCells count="11">
    <mergeCell ref="B4:B5"/>
    <mergeCell ref="B44:B45"/>
    <mergeCell ref="C44:E44"/>
    <mergeCell ref="B61:B62"/>
    <mergeCell ref="C61:E61"/>
    <mergeCell ref="B21:B22"/>
    <mergeCell ref="C21:E21"/>
    <mergeCell ref="B29:B30"/>
    <mergeCell ref="C29:E29"/>
    <mergeCell ref="B36:B37"/>
    <mergeCell ref="C36:E36"/>
  </mergeCells>
  <pageMargins left="0.70866141732283472" right="0.70866141732283472" top="0.74803149606299213" bottom="0.74803149606299213" header="0.31496062992125984" footer="0.31496062992125984"/>
  <pageSetup paperSize="9" scale="47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C8F096-B1AE-47D8-A79F-54293BFD8C5B}">
  <sheetPr>
    <pageSetUpPr fitToPage="1"/>
  </sheetPr>
  <dimension ref="A1:O123"/>
  <sheetViews>
    <sheetView showGridLines="0" zoomScale="83" zoomScaleNormal="83" workbookViewId="0">
      <selection activeCell="B15" sqref="B15"/>
    </sheetView>
  </sheetViews>
  <sheetFormatPr defaultColWidth="11.44140625" defaultRowHeight="14.4" x14ac:dyDescent="0.3"/>
  <cols>
    <col min="1" max="1" width="32.33203125" style="31" customWidth="1"/>
    <col min="2" max="2" width="39.5546875" style="31" customWidth="1"/>
    <col min="3" max="3" width="19.109375" style="31" customWidth="1"/>
    <col min="4" max="4" width="19.44140625" style="31" customWidth="1"/>
    <col min="5" max="5" width="20.88671875" style="31" customWidth="1"/>
    <col min="6" max="6" width="19.6640625" style="31" customWidth="1"/>
    <col min="7" max="7" width="20.44140625" style="31" customWidth="1"/>
    <col min="8" max="8" width="30.88671875" style="31" customWidth="1"/>
    <col min="9" max="9" width="18.5546875" style="31" customWidth="1"/>
    <col min="10" max="10" width="21.33203125" style="31" customWidth="1"/>
    <col min="11" max="16384" width="11.44140625" style="31"/>
  </cols>
  <sheetData>
    <row r="1" spans="1:14" x14ac:dyDescent="0.3">
      <c r="B1" s="31" t="s">
        <v>64</v>
      </c>
    </row>
    <row r="2" spans="1:14" ht="16.5" customHeight="1" x14ac:dyDescent="0.3">
      <c r="H2" s="59"/>
    </row>
    <row r="3" spans="1:14" ht="30" customHeight="1" x14ac:dyDescent="0.3">
      <c r="A3" s="31" t="s">
        <v>16</v>
      </c>
      <c r="B3" s="44" t="s">
        <v>56</v>
      </c>
      <c r="H3" s="86"/>
      <c r="I3" s="86"/>
      <c r="J3" s="86"/>
      <c r="K3" s="86"/>
      <c r="L3" s="86"/>
    </row>
    <row r="4" spans="1:14" ht="15" thickBot="1" x14ac:dyDescent="0.35">
      <c r="H4" s="86"/>
      <c r="I4" s="86"/>
      <c r="J4" s="86"/>
      <c r="K4" s="86"/>
      <c r="L4" s="86"/>
    </row>
    <row r="5" spans="1:14" ht="82.5" customHeight="1" thickBot="1" x14ac:dyDescent="0.35">
      <c r="B5" s="49" t="s">
        <v>17</v>
      </c>
      <c r="C5" s="50" t="s">
        <v>55</v>
      </c>
      <c r="D5" s="50" t="s">
        <v>53</v>
      </c>
      <c r="E5" s="50" t="s">
        <v>54</v>
      </c>
      <c r="F5" s="51" t="s">
        <v>33</v>
      </c>
      <c r="H5" s="90" t="s">
        <v>52</v>
      </c>
      <c r="I5" s="90"/>
      <c r="J5" s="90"/>
      <c r="K5" s="90"/>
      <c r="L5" s="86"/>
    </row>
    <row r="6" spans="1:14" x14ac:dyDescent="0.3">
      <c r="B6" s="46" t="s">
        <v>38</v>
      </c>
      <c r="C6" s="47">
        <v>80000</v>
      </c>
      <c r="D6" s="53">
        <v>158500</v>
      </c>
      <c r="E6" s="47">
        <v>128700</v>
      </c>
      <c r="F6" s="48"/>
      <c r="H6" s="86">
        <v>109</v>
      </c>
      <c r="I6" s="87">
        <f>C6/109</f>
        <v>733.94495412844037</v>
      </c>
      <c r="J6" s="87"/>
      <c r="K6" s="87"/>
      <c r="L6" s="86"/>
    </row>
    <row r="7" spans="1:14" x14ac:dyDescent="0.3">
      <c r="B7" s="38" t="s">
        <v>19</v>
      </c>
      <c r="C7" s="36">
        <v>0.5</v>
      </c>
      <c r="D7" s="36">
        <v>1</v>
      </c>
      <c r="E7" s="36">
        <v>1</v>
      </c>
      <c r="F7" s="39"/>
      <c r="H7" s="86">
        <v>218</v>
      </c>
      <c r="I7" s="86">
        <f>D6/218</f>
        <v>727.06422018348621</v>
      </c>
      <c r="J7" s="86">
        <f>E6/218</f>
        <v>590.36697247706422</v>
      </c>
      <c r="K7" s="86"/>
      <c r="L7" s="86"/>
    </row>
    <row r="8" spans="1:14" ht="28.8" x14ac:dyDescent="0.3">
      <c r="B8" s="38" t="s">
        <v>59</v>
      </c>
      <c r="C8" s="53">
        <f>80000/218</f>
        <v>366.97247706422019</v>
      </c>
      <c r="D8" s="53">
        <f>158500/2/218</f>
        <v>363.53211009174311</v>
      </c>
      <c r="E8" s="47">
        <f>128700/218/2</f>
        <v>295.18348623853211</v>
      </c>
      <c r="F8" s="39"/>
      <c r="H8" s="86"/>
      <c r="I8" s="86"/>
      <c r="J8" s="86"/>
      <c r="K8" s="86"/>
      <c r="L8" s="86"/>
    </row>
    <row r="9" spans="1:14" x14ac:dyDescent="0.3">
      <c r="B9" s="38" t="s">
        <v>58</v>
      </c>
      <c r="C9" s="53">
        <f>80000</f>
        <v>80000</v>
      </c>
      <c r="D9" s="53">
        <f>D6/2</f>
        <v>79250</v>
      </c>
      <c r="E9" s="47">
        <f>E6/2</f>
        <v>64350</v>
      </c>
      <c r="F9" s="39"/>
      <c r="H9" s="86"/>
      <c r="I9" s="86"/>
      <c r="J9" s="86"/>
      <c r="K9" s="86"/>
      <c r="L9" s="86"/>
    </row>
    <row r="10" spans="1:14" ht="15.6" x14ac:dyDescent="0.3">
      <c r="B10" s="38" t="s">
        <v>20</v>
      </c>
      <c r="C10" s="32"/>
      <c r="D10" s="32"/>
      <c r="E10" s="32"/>
      <c r="F10" s="45">
        <f>SUM(C6:E6)</f>
        <v>367200</v>
      </c>
      <c r="H10" s="87"/>
      <c r="I10" s="88"/>
      <c r="J10" s="86"/>
      <c r="K10" s="86"/>
      <c r="L10" s="86"/>
    </row>
    <row r="11" spans="1:14" x14ac:dyDescent="0.3">
      <c r="B11" s="38"/>
      <c r="C11" s="32"/>
      <c r="D11" s="32"/>
      <c r="E11" s="32"/>
      <c r="F11" s="39"/>
      <c r="H11" s="89"/>
      <c r="I11" s="86"/>
      <c r="J11" s="86"/>
      <c r="K11" s="86"/>
      <c r="L11" s="86"/>
    </row>
    <row r="12" spans="1:14" ht="35.25" customHeight="1" thickBot="1" x14ac:dyDescent="0.35">
      <c r="B12" s="40" t="s">
        <v>21</v>
      </c>
      <c r="C12" s="41"/>
      <c r="D12" s="41"/>
      <c r="E12" s="41"/>
      <c r="F12" s="42"/>
      <c r="H12" s="86"/>
      <c r="I12" s="86"/>
      <c r="J12" s="86"/>
      <c r="K12" s="86"/>
      <c r="L12" s="86"/>
    </row>
    <row r="13" spans="1:14" ht="25.5" customHeight="1" thickBot="1" x14ac:dyDescent="0.35">
      <c r="F13" s="35"/>
    </row>
    <row r="14" spans="1:14" ht="82.5" customHeight="1" thickBot="1" x14ac:dyDescent="0.35">
      <c r="B14" s="49" t="s">
        <v>17</v>
      </c>
      <c r="C14" s="50" t="s">
        <v>55</v>
      </c>
      <c r="D14" s="50" t="s">
        <v>65</v>
      </c>
      <c r="E14" s="50" t="s">
        <v>65</v>
      </c>
      <c r="F14" s="50" t="s">
        <v>66</v>
      </c>
      <c r="G14" s="50" t="s">
        <v>67</v>
      </c>
      <c r="H14" s="51" t="s">
        <v>33</v>
      </c>
      <c r="J14" s="90" t="s">
        <v>52</v>
      </c>
      <c r="K14" s="90"/>
      <c r="L14" s="90"/>
      <c r="M14" s="90"/>
      <c r="N14" s="86"/>
    </row>
    <row r="15" spans="1:14" ht="28.8" x14ac:dyDescent="0.3">
      <c r="B15" s="38" t="s">
        <v>59</v>
      </c>
      <c r="C15" s="53">
        <v>366.97</v>
      </c>
      <c r="D15" s="53">
        <f>158500/2/218</f>
        <v>363.53211009174311</v>
      </c>
      <c r="E15" s="53">
        <f>158500/2/218</f>
        <v>363.53211009174311</v>
      </c>
      <c r="F15" s="47">
        <f>128700/218/2</f>
        <v>295.18348623853211</v>
      </c>
      <c r="G15" s="47">
        <f>128700/218/2</f>
        <v>295.18348623853211</v>
      </c>
      <c r="H15" s="39"/>
      <c r="J15" s="86"/>
      <c r="K15" s="86"/>
      <c r="L15" s="86"/>
      <c r="M15" s="86"/>
      <c r="N15" s="86"/>
    </row>
    <row r="16" spans="1:14" x14ac:dyDescent="0.3">
      <c r="B16" s="38" t="s">
        <v>61</v>
      </c>
      <c r="C16" s="53">
        <f>80000</f>
        <v>80000</v>
      </c>
      <c r="D16" s="53">
        <v>65000</v>
      </c>
      <c r="E16" s="53">
        <v>65000</v>
      </c>
      <c r="F16" s="47">
        <v>50000</v>
      </c>
      <c r="G16" s="47">
        <v>50000</v>
      </c>
      <c r="H16" s="39"/>
      <c r="J16" s="86"/>
      <c r="K16" s="86"/>
      <c r="L16" s="86"/>
      <c r="M16" s="86"/>
      <c r="N16" s="86"/>
    </row>
    <row r="17" spans="1:14" x14ac:dyDescent="0.3">
      <c r="B17" s="38" t="s">
        <v>51</v>
      </c>
      <c r="C17" s="36" t="s">
        <v>49</v>
      </c>
      <c r="D17" s="53">
        <f>158500/2</f>
        <v>79250</v>
      </c>
      <c r="E17" s="53">
        <f>158500/2</f>
        <v>79250</v>
      </c>
      <c r="F17" s="47">
        <f>128700/2</f>
        <v>64350</v>
      </c>
      <c r="G17" s="47">
        <f>128700/2</f>
        <v>64350</v>
      </c>
      <c r="H17" s="39"/>
      <c r="J17" s="86"/>
      <c r="K17" s="86"/>
      <c r="L17" s="86"/>
      <c r="M17" s="86"/>
      <c r="N17" s="86"/>
    </row>
    <row r="18" spans="1:14" s="92" customFormat="1" x14ac:dyDescent="0.3">
      <c r="B18" s="92" t="s">
        <v>63</v>
      </c>
      <c r="C18" s="93" t="s">
        <v>49</v>
      </c>
      <c r="D18" s="59">
        <f>D17-D16</f>
        <v>14250</v>
      </c>
      <c r="E18" s="59">
        <f>G17-G16</f>
        <v>14350</v>
      </c>
      <c r="F18" s="59">
        <f>F17-F16</f>
        <v>14350</v>
      </c>
      <c r="G18" s="59">
        <f>G17-G16</f>
        <v>14350</v>
      </c>
    </row>
    <row r="19" spans="1:14" ht="32.25" customHeight="1" x14ac:dyDescent="0.3">
      <c r="D19" s="35"/>
      <c r="E19" s="35"/>
      <c r="F19" s="35"/>
    </row>
    <row r="20" spans="1:14" ht="32.25" customHeight="1" x14ac:dyDescent="0.3">
      <c r="A20" s="31" t="s">
        <v>50</v>
      </c>
      <c r="C20" s="91">
        <v>80000</v>
      </c>
      <c r="D20" s="35">
        <v>65000</v>
      </c>
      <c r="E20" s="35">
        <v>65000</v>
      </c>
      <c r="F20" s="35">
        <v>50000</v>
      </c>
      <c r="G20" s="35">
        <v>50000</v>
      </c>
    </row>
    <row r="21" spans="1:14" ht="32.25" customHeight="1" x14ac:dyDescent="0.3">
      <c r="A21" s="31" t="s">
        <v>62</v>
      </c>
      <c r="C21" s="91"/>
      <c r="D21" s="35">
        <v>65000</v>
      </c>
      <c r="E21" s="35">
        <f>65000/14</f>
        <v>4642.8571428571431</v>
      </c>
      <c r="F21" s="35">
        <f>E21*45%</f>
        <v>2089.2857142857147</v>
      </c>
      <c r="G21" s="35">
        <f>E21-F21</f>
        <v>2553.5714285714284</v>
      </c>
      <c r="H21" s="95">
        <f>D15*218</f>
        <v>79250</v>
      </c>
    </row>
    <row r="22" spans="1:14" ht="32.25" customHeight="1" x14ac:dyDescent="0.3">
      <c r="A22" s="31" t="s">
        <v>72</v>
      </c>
      <c r="C22" s="91"/>
      <c r="D22" s="35"/>
      <c r="E22" s="35"/>
      <c r="F22" s="35"/>
      <c r="G22" s="35"/>
      <c r="H22" s="95"/>
    </row>
    <row r="23" spans="1:14" s="96" customFormat="1" ht="32.25" customHeight="1" x14ac:dyDescent="0.3">
      <c r="A23" s="96" t="s">
        <v>73</v>
      </c>
      <c r="C23" s="97"/>
      <c r="D23" s="69"/>
      <c r="E23" s="69"/>
      <c r="F23" s="69"/>
      <c r="G23" s="69"/>
      <c r="H23" s="98" t="s">
        <v>74</v>
      </c>
    </row>
    <row r="24" spans="1:14" ht="32.25" customHeight="1" x14ac:dyDescent="0.3">
      <c r="A24" s="31" t="s">
        <v>70</v>
      </c>
      <c r="C24" s="91"/>
      <c r="D24" s="35"/>
      <c r="E24" s="35">
        <f>50000/14</f>
        <v>3571.4285714285716</v>
      </c>
      <c r="F24" s="35">
        <f>E24*45%</f>
        <v>1607.1428571428573</v>
      </c>
      <c r="G24" s="35">
        <f>E24-F24</f>
        <v>1964.2857142857142</v>
      </c>
      <c r="H24" s="31" t="s">
        <v>68</v>
      </c>
    </row>
    <row r="25" spans="1:14" ht="32.25" customHeight="1" x14ac:dyDescent="0.3">
      <c r="A25" s="31" t="s">
        <v>72</v>
      </c>
      <c r="C25" s="91"/>
      <c r="D25" s="35"/>
      <c r="E25" s="35"/>
      <c r="F25" s="35"/>
      <c r="G25" s="35"/>
      <c r="H25" s="99" t="s">
        <v>75</v>
      </c>
    </row>
    <row r="26" spans="1:14" s="96" customFormat="1" ht="32.25" customHeight="1" x14ac:dyDescent="0.3">
      <c r="A26" s="96" t="s">
        <v>73</v>
      </c>
      <c r="C26" s="97"/>
      <c r="D26" s="69"/>
      <c r="E26" s="69"/>
      <c r="F26" s="69"/>
      <c r="G26" s="69"/>
      <c r="H26" s="98" t="s">
        <v>76</v>
      </c>
      <c r="I26" s="96">
        <f>50000+1744</f>
        <v>51744</v>
      </c>
    </row>
    <row r="27" spans="1:14" ht="32.25" customHeight="1" x14ac:dyDescent="0.3">
      <c r="A27" s="31" t="s">
        <v>60</v>
      </c>
      <c r="C27" s="91"/>
      <c r="D27" s="35"/>
      <c r="E27" s="35">
        <f>46000/14</f>
        <v>3285.7142857142858</v>
      </c>
      <c r="F27" s="35">
        <f>E27*45%</f>
        <v>1478.5714285714287</v>
      </c>
      <c r="G27" s="35">
        <f>E27-F27</f>
        <v>1807.1428571428571</v>
      </c>
    </row>
    <row r="28" spans="1:14" ht="32.25" customHeight="1" x14ac:dyDescent="0.3">
      <c r="A28" s="31" t="s">
        <v>69</v>
      </c>
      <c r="C28" s="91"/>
      <c r="D28" s="35"/>
      <c r="E28" s="35"/>
      <c r="F28" s="35"/>
      <c r="G28" s="35"/>
    </row>
    <row r="29" spans="1:14" ht="32.25" customHeight="1" x14ac:dyDescent="0.3">
      <c r="A29" s="31" t="s">
        <v>71</v>
      </c>
      <c r="C29" s="91"/>
      <c r="D29" s="35"/>
      <c r="E29" s="35"/>
      <c r="F29" s="35"/>
      <c r="G29" s="35"/>
    </row>
    <row r="30" spans="1:14" ht="60.6" customHeight="1" x14ac:dyDescent="0.3">
      <c r="A30" s="31" t="s">
        <v>57</v>
      </c>
      <c r="F30" s="35"/>
    </row>
    <row r="31" spans="1:14" x14ac:dyDescent="0.3">
      <c r="B31" s="31" t="s">
        <v>48</v>
      </c>
    </row>
    <row r="32" spans="1:14" ht="16.5" customHeight="1" x14ac:dyDescent="0.3">
      <c r="H32" s="59"/>
    </row>
    <row r="33" spans="1:12" ht="30" customHeight="1" x14ac:dyDescent="0.3">
      <c r="A33" s="31" t="s">
        <v>16</v>
      </c>
      <c r="B33" s="44" t="s">
        <v>56</v>
      </c>
      <c r="H33" s="86"/>
      <c r="I33" s="86"/>
      <c r="J33" s="86"/>
      <c r="K33" s="86"/>
      <c r="L33" s="86"/>
    </row>
    <row r="34" spans="1:12" ht="15" thickBot="1" x14ac:dyDescent="0.35">
      <c r="H34" s="86"/>
      <c r="I34" s="86"/>
      <c r="J34" s="86"/>
      <c r="K34" s="86"/>
      <c r="L34" s="86"/>
    </row>
    <row r="35" spans="1:12" ht="82.5" customHeight="1" thickBot="1" x14ac:dyDescent="0.35">
      <c r="B35" s="49" t="s">
        <v>17</v>
      </c>
      <c r="C35" s="50" t="s">
        <v>55</v>
      </c>
      <c r="D35" s="50" t="s">
        <v>53</v>
      </c>
      <c r="E35" s="50" t="s">
        <v>54</v>
      </c>
      <c r="F35" s="51" t="s">
        <v>33</v>
      </c>
      <c r="H35" s="90" t="s">
        <v>52</v>
      </c>
      <c r="I35" s="90"/>
      <c r="J35" s="90"/>
      <c r="K35" s="90"/>
      <c r="L35" s="86"/>
    </row>
    <row r="36" spans="1:12" x14ac:dyDescent="0.3">
      <c r="B36" s="46" t="s">
        <v>38</v>
      </c>
      <c r="C36" s="47">
        <v>80000</v>
      </c>
      <c r="D36" s="53">
        <v>158500</v>
      </c>
      <c r="E36" s="47">
        <v>128700</v>
      </c>
      <c r="F36" s="48"/>
      <c r="H36" s="86">
        <v>109</v>
      </c>
      <c r="I36" s="87">
        <f>C36/109</f>
        <v>733.94495412844037</v>
      </c>
      <c r="J36" s="87"/>
      <c r="K36" s="87"/>
      <c r="L36" s="86"/>
    </row>
    <row r="37" spans="1:12" x14ac:dyDescent="0.3">
      <c r="B37" s="38" t="s">
        <v>19</v>
      </c>
      <c r="C37" s="36">
        <v>0.5</v>
      </c>
      <c r="D37" s="36">
        <v>1</v>
      </c>
      <c r="E37" s="36">
        <v>1</v>
      </c>
      <c r="F37" s="39"/>
      <c r="H37" s="86">
        <v>218</v>
      </c>
      <c r="I37" s="86">
        <f>D36/218</f>
        <v>727.06422018348621</v>
      </c>
      <c r="J37" s="86">
        <f>E36/218</f>
        <v>590.36697247706422</v>
      </c>
      <c r="K37" s="86"/>
      <c r="L37" s="86"/>
    </row>
    <row r="38" spans="1:12" ht="28.8" x14ac:dyDescent="0.3">
      <c r="B38" s="38" t="s">
        <v>59</v>
      </c>
      <c r="C38" s="53">
        <f>80000/218</f>
        <v>366.97247706422019</v>
      </c>
      <c r="D38" s="53">
        <f>158500/2/218</f>
        <v>363.53211009174311</v>
      </c>
      <c r="E38" s="47">
        <f>128700/218/2</f>
        <v>295.18348623853211</v>
      </c>
      <c r="F38" s="39"/>
      <c r="H38" s="86"/>
      <c r="I38" s="86"/>
      <c r="J38" s="86"/>
      <c r="K38" s="86"/>
      <c r="L38" s="86"/>
    </row>
    <row r="39" spans="1:12" x14ac:dyDescent="0.3">
      <c r="B39" s="38" t="s">
        <v>58</v>
      </c>
      <c r="C39" s="53">
        <f>80000</f>
        <v>80000</v>
      </c>
      <c r="D39" s="53">
        <f>D36/2</f>
        <v>79250</v>
      </c>
      <c r="E39" s="47">
        <f>E36/2</f>
        <v>64350</v>
      </c>
      <c r="F39" s="39"/>
      <c r="H39" s="86"/>
      <c r="I39" s="86"/>
      <c r="J39" s="86"/>
      <c r="K39" s="86"/>
      <c r="L39" s="86"/>
    </row>
    <row r="40" spans="1:12" ht="15.6" x14ac:dyDescent="0.3">
      <c r="B40" s="38" t="s">
        <v>20</v>
      </c>
      <c r="C40" s="32"/>
      <c r="D40" s="32"/>
      <c r="E40" s="32"/>
      <c r="F40" s="45">
        <f>SUM(C36:E36)</f>
        <v>367200</v>
      </c>
      <c r="H40" s="87"/>
      <c r="I40" s="88"/>
      <c r="J40" s="86"/>
      <c r="K40" s="86"/>
      <c r="L40" s="86"/>
    </row>
    <row r="41" spans="1:12" x14ac:dyDescent="0.3">
      <c r="B41" s="38"/>
      <c r="C41" s="32"/>
      <c r="D41" s="32"/>
      <c r="E41" s="32"/>
      <c r="F41" s="39"/>
      <c r="H41" s="89"/>
      <c r="I41" s="86"/>
      <c r="J41" s="86"/>
      <c r="K41" s="86"/>
      <c r="L41" s="86"/>
    </row>
    <row r="42" spans="1:12" ht="35.25" customHeight="1" thickBot="1" x14ac:dyDescent="0.35">
      <c r="B42" s="40" t="s">
        <v>21</v>
      </c>
      <c r="C42" s="41"/>
      <c r="D42" s="41"/>
      <c r="E42" s="41"/>
      <c r="F42" s="42"/>
      <c r="H42" s="86"/>
      <c r="I42" s="86"/>
      <c r="J42" s="86"/>
      <c r="K42" s="86"/>
      <c r="L42" s="86"/>
    </row>
    <row r="43" spans="1:12" ht="25.5" customHeight="1" x14ac:dyDescent="0.3">
      <c r="F43" s="35"/>
    </row>
    <row r="44" spans="1:12" ht="28.8" x14ac:dyDescent="0.3">
      <c r="B44" s="38" t="s">
        <v>59</v>
      </c>
      <c r="C44" s="53">
        <v>366.97</v>
      </c>
      <c r="D44" s="53">
        <v>725</v>
      </c>
      <c r="E44" s="47">
        <v>590</v>
      </c>
      <c r="F44" s="39"/>
      <c r="H44" s="86"/>
      <c r="I44" s="86"/>
      <c r="J44" s="86"/>
      <c r="K44" s="86"/>
      <c r="L44" s="86"/>
    </row>
    <row r="45" spans="1:12" x14ac:dyDescent="0.3">
      <c r="B45" s="38" t="s">
        <v>61</v>
      </c>
      <c r="C45" s="53">
        <f>80000</f>
        <v>80000</v>
      </c>
      <c r="D45" s="53">
        <v>60000</v>
      </c>
      <c r="E45" s="47">
        <v>50000</v>
      </c>
      <c r="F45" s="39"/>
      <c r="H45" s="86"/>
      <c r="I45" s="86"/>
      <c r="J45" s="86"/>
      <c r="K45" s="86"/>
      <c r="L45" s="86"/>
    </row>
    <row r="46" spans="1:12" x14ac:dyDescent="0.3">
      <c r="B46" s="38" t="s">
        <v>51</v>
      </c>
      <c r="C46" s="36" t="s">
        <v>49</v>
      </c>
      <c r="D46" s="53">
        <f>158500/2</f>
        <v>79250</v>
      </c>
      <c r="E46" s="47">
        <f>128700/2</f>
        <v>64350</v>
      </c>
      <c r="F46" s="39"/>
      <c r="H46" s="86"/>
      <c r="I46" s="86"/>
      <c r="J46" s="86"/>
      <c r="K46" s="86"/>
      <c r="L46" s="86"/>
    </row>
    <row r="47" spans="1:12" s="92" customFormat="1" x14ac:dyDescent="0.3">
      <c r="B47" s="92" t="s">
        <v>63</v>
      </c>
      <c r="C47" s="93" t="s">
        <v>49</v>
      </c>
      <c r="D47" s="59">
        <f>D46-D45</f>
        <v>19250</v>
      </c>
      <c r="E47" s="59">
        <f>E46-E45</f>
        <v>14350</v>
      </c>
    </row>
    <row r="48" spans="1:12" x14ac:dyDescent="0.3">
      <c r="B48" s="31" t="s">
        <v>43</v>
      </c>
    </row>
    <row r="49" spans="1:15" ht="16.5" customHeight="1" x14ac:dyDescent="0.3">
      <c r="H49" s="59"/>
    </row>
    <row r="50" spans="1:15" ht="30" customHeight="1" x14ac:dyDescent="0.3">
      <c r="A50" s="31" t="s">
        <v>16</v>
      </c>
      <c r="B50" s="44" t="s">
        <v>45</v>
      </c>
    </row>
    <row r="51" spans="1:15" ht="15" thickBot="1" x14ac:dyDescent="0.35">
      <c r="C51" s="31">
        <f>C53/218</f>
        <v>366.97247706422019</v>
      </c>
      <c r="D51" s="31">
        <f>D53/2/218</f>
        <v>363.53211009174311</v>
      </c>
      <c r="E51" s="31">
        <f>E53/2/218</f>
        <v>295.18348623853211</v>
      </c>
    </row>
    <row r="52" spans="1:15" ht="61.95" customHeight="1" thickBot="1" x14ac:dyDescent="0.35">
      <c r="B52" s="49" t="s">
        <v>17</v>
      </c>
      <c r="C52" s="50" t="s">
        <v>24</v>
      </c>
      <c r="D52" s="50" t="s">
        <v>34</v>
      </c>
      <c r="E52" s="50" t="s">
        <v>35</v>
      </c>
      <c r="F52" s="51" t="s">
        <v>33</v>
      </c>
      <c r="H52" s="31" t="s">
        <v>46</v>
      </c>
      <c r="I52" s="85" t="s">
        <v>47</v>
      </c>
      <c r="J52" s="31" t="s">
        <v>46</v>
      </c>
      <c r="K52" s="85" t="s">
        <v>47</v>
      </c>
    </row>
    <row r="53" spans="1:15" x14ac:dyDescent="0.3">
      <c r="B53" s="46" t="s">
        <v>38</v>
      </c>
      <c r="C53" s="47">
        <v>80000</v>
      </c>
      <c r="D53" s="53">
        <v>158500</v>
      </c>
      <c r="E53" s="47">
        <v>128700</v>
      </c>
      <c r="F53" s="48"/>
      <c r="H53" s="35">
        <f>D53/2</f>
        <v>79250</v>
      </c>
      <c r="I53" s="35">
        <f>H53/14</f>
        <v>5660.7142857142853</v>
      </c>
      <c r="J53" s="35">
        <f>E53/2</f>
        <v>64350</v>
      </c>
      <c r="K53" s="35">
        <f>J53/14</f>
        <v>4596.4285714285716</v>
      </c>
    </row>
    <row r="54" spans="1:15" x14ac:dyDescent="0.3">
      <c r="B54" s="38" t="s">
        <v>19</v>
      </c>
      <c r="C54" s="36">
        <v>0.5</v>
      </c>
      <c r="D54" s="36">
        <v>1</v>
      </c>
      <c r="E54" s="36">
        <v>1</v>
      </c>
      <c r="F54" s="39"/>
    </row>
    <row r="55" spans="1:15" ht="15.6" x14ac:dyDescent="0.3">
      <c r="B55" s="38" t="s">
        <v>20</v>
      </c>
      <c r="C55" s="32"/>
      <c r="D55" s="32"/>
      <c r="E55" s="32"/>
      <c r="F55" s="45">
        <f>SUM(C53:E53)</f>
        <v>367200</v>
      </c>
      <c r="H55" s="35"/>
      <c r="I55" s="58"/>
    </row>
    <row r="56" spans="1:15" x14ac:dyDescent="0.3">
      <c r="B56" s="38"/>
      <c r="C56" s="32"/>
      <c r="D56" s="32"/>
      <c r="E56" s="32"/>
      <c r="F56" s="39"/>
      <c r="H56" s="59"/>
    </row>
    <row r="57" spans="1:15" ht="35.25" customHeight="1" thickBot="1" x14ac:dyDescent="0.35">
      <c r="B57" s="40" t="s">
        <v>21</v>
      </c>
      <c r="C57" s="41"/>
      <c r="D57" s="41"/>
      <c r="E57" s="41"/>
      <c r="F57" s="42"/>
      <c r="O57" s="31">
        <f>57.87*8</f>
        <v>462.96</v>
      </c>
    </row>
    <row r="58" spans="1:15" ht="16.5" customHeight="1" x14ac:dyDescent="0.3">
      <c r="H58" s="59"/>
    </row>
    <row r="59" spans="1:15" s="37" customFormat="1" ht="15.6" x14ac:dyDescent="0.3">
      <c r="B59" s="100" t="s">
        <v>37</v>
      </c>
      <c r="C59" s="100"/>
      <c r="D59" s="100"/>
      <c r="E59" s="100"/>
    </row>
    <row r="60" spans="1:15" ht="9" customHeight="1" thickBot="1" x14ac:dyDescent="0.35"/>
    <row r="61" spans="1:15" ht="43.2" customHeight="1" thickBot="1" x14ac:dyDescent="0.35">
      <c r="B61" s="52" t="s">
        <v>17</v>
      </c>
      <c r="C61" s="50" t="s">
        <v>36</v>
      </c>
      <c r="D61" s="50" t="s">
        <v>27</v>
      </c>
      <c r="E61" s="55" t="s">
        <v>40</v>
      </c>
    </row>
    <row r="62" spans="1:15" x14ac:dyDescent="0.3">
      <c r="B62" s="46" t="s">
        <v>31</v>
      </c>
      <c r="C62" s="54" t="s">
        <v>39</v>
      </c>
      <c r="D62" s="54" t="s">
        <v>39</v>
      </c>
      <c r="E62" s="48"/>
    </row>
    <row r="63" spans="1:15" x14ac:dyDescent="0.3">
      <c r="B63" s="38" t="s">
        <v>19</v>
      </c>
      <c r="C63" s="36">
        <v>1</v>
      </c>
      <c r="D63" s="36">
        <v>1</v>
      </c>
      <c r="E63" s="39"/>
    </row>
    <row r="64" spans="1:15" x14ac:dyDescent="0.3">
      <c r="B64" s="38" t="s">
        <v>20</v>
      </c>
      <c r="C64" s="32">
        <v>0</v>
      </c>
      <c r="D64" s="32">
        <v>0</v>
      </c>
      <c r="E64" s="39"/>
    </row>
    <row r="65" spans="1:9" x14ac:dyDescent="0.3">
      <c r="B65" s="38"/>
      <c r="C65" s="32"/>
      <c r="D65" s="32"/>
      <c r="E65" s="39"/>
      <c r="G65" s="35"/>
    </row>
    <row r="66" spans="1:9" ht="30" customHeight="1" thickBot="1" x14ac:dyDescent="0.35">
      <c r="B66" s="40" t="s">
        <v>21</v>
      </c>
      <c r="C66" s="41"/>
      <c r="D66" s="41"/>
      <c r="E66" s="43"/>
    </row>
    <row r="68" spans="1:9" ht="15.6" customHeight="1" x14ac:dyDescent="0.3">
      <c r="B68" s="61">
        <v>1</v>
      </c>
      <c r="C68" s="69">
        <f>80000*1%</f>
        <v>800</v>
      </c>
      <c r="D68" s="69">
        <f>160000*1%</f>
        <v>1600</v>
      </c>
      <c r="E68" s="69">
        <f>130000*1%</f>
        <v>1300</v>
      </c>
      <c r="F68" s="35"/>
      <c r="H68" s="59"/>
    </row>
    <row r="69" spans="1:9" ht="16.5" customHeight="1" x14ac:dyDescent="0.3">
      <c r="B69" s="61"/>
      <c r="C69" s="35">
        <f>C53-C68</f>
        <v>79200</v>
      </c>
      <c r="D69" s="35">
        <f>D53-D68</f>
        <v>156900</v>
      </c>
      <c r="E69" s="35">
        <f>E53-E68</f>
        <v>127400</v>
      </c>
      <c r="F69" s="35"/>
      <c r="H69" s="59">
        <f>SUM(C69:E69)</f>
        <v>363500</v>
      </c>
      <c r="I69" s="58">
        <v>0.01</v>
      </c>
    </row>
    <row r="70" spans="1:9" ht="16.5" customHeight="1" x14ac:dyDescent="0.3">
      <c r="B70" s="61"/>
      <c r="C70" s="35"/>
      <c r="D70" s="35"/>
      <c r="E70" s="35"/>
      <c r="F70" s="35"/>
      <c r="H70" s="59"/>
    </row>
    <row r="71" spans="1:9" ht="16.5" customHeight="1" x14ac:dyDescent="0.3">
      <c r="B71" s="61">
        <v>2</v>
      </c>
      <c r="C71" s="69">
        <f>80000*2%</f>
        <v>1600</v>
      </c>
      <c r="D71" s="69">
        <f>160000*2%</f>
        <v>3200</v>
      </c>
      <c r="E71" s="69">
        <f>130000*2%</f>
        <v>2600</v>
      </c>
      <c r="F71" s="35"/>
      <c r="H71" s="59"/>
    </row>
    <row r="72" spans="1:9" ht="16.5" customHeight="1" x14ac:dyDescent="0.3">
      <c r="B72" s="61"/>
      <c r="C72" s="35">
        <f>C53-C71</f>
        <v>78400</v>
      </c>
      <c r="D72" s="35">
        <f>D53-D71</f>
        <v>155300</v>
      </c>
      <c r="E72" s="35">
        <f>E53-E71</f>
        <v>126100</v>
      </c>
      <c r="F72" s="35"/>
      <c r="H72" s="59">
        <f>SUM(C72:G72)</f>
        <v>359800</v>
      </c>
      <c r="I72" s="58">
        <v>0.02</v>
      </c>
    </row>
    <row r="73" spans="1:9" ht="27.75" customHeight="1" x14ac:dyDescent="0.3">
      <c r="B73" s="61">
        <v>3</v>
      </c>
      <c r="C73" s="69">
        <f>80000*3%</f>
        <v>2400</v>
      </c>
      <c r="D73" s="69">
        <f>160000*3%</f>
        <v>4800</v>
      </c>
      <c r="E73" s="69">
        <f>130000*3%</f>
        <v>3900</v>
      </c>
      <c r="F73" s="35"/>
      <c r="H73" s="59"/>
    </row>
    <row r="74" spans="1:9" ht="23.25" customHeight="1" x14ac:dyDescent="0.3">
      <c r="B74" s="61"/>
      <c r="C74" s="35">
        <f>C53-C73</f>
        <v>77600</v>
      </c>
      <c r="D74" s="35">
        <f>D53-D73</f>
        <v>153700</v>
      </c>
      <c r="E74" s="35">
        <f>E53-E73</f>
        <v>124800</v>
      </c>
      <c r="F74" s="35"/>
      <c r="H74" s="59">
        <f>SUM(C74:G74)</f>
        <v>356100</v>
      </c>
      <c r="I74" s="58">
        <v>0.03</v>
      </c>
    </row>
    <row r="75" spans="1:9" ht="38.25" customHeight="1" x14ac:dyDescent="0.3">
      <c r="B75" s="61"/>
      <c r="C75" s="35"/>
      <c r="D75" s="35"/>
      <c r="E75" s="35"/>
      <c r="F75" s="35"/>
      <c r="H75" s="59"/>
    </row>
    <row r="76" spans="1:9" ht="30" customHeight="1" x14ac:dyDescent="0.3">
      <c r="A76" s="31" t="s">
        <v>42</v>
      </c>
      <c r="B76" s="44" t="s">
        <v>41</v>
      </c>
    </row>
    <row r="77" spans="1:9" ht="15" thickBot="1" x14ac:dyDescent="0.35"/>
    <row r="78" spans="1:9" ht="61.95" customHeight="1" thickBot="1" x14ac:dyDescent="0.35">
      <c r="B78" s="49" t="s">
        <v>17</v>
      </c>
      <c r="C78" s="50" t="s">
        <v>24</v>
      </c>
      <c r="D78" s="50" t="s">
        <v>34</v>
      </c>
      <c r="E78" s="50" t="s">
        <v>35</v>
      </c>
      <c r="F78" s="51" t="s">
        <v>33</v>
      </c>
    </row>
    <row r="79" spans="1:9" x14ac:dyDescent="0.3">
      <c r="B79" s="46" t="s">
        <v>38</v>
      </c>
      <c r="C79" s="47">
        <v>80000</v>
      </c>
      <c r="D79" s="53">
        <f>80000*2</f>
        <v>160000</v>
      </c>
      <c r="E79" s="47">
        <f>65000*2</f>
        <v>130000</v>
      </c>
      <c r="F79" s="48"/>
      <c r="H79" s="35"/>
      <c r="I79" s="35"/>
    </row>
    <row r="80" spans="1:9" x14ac:dyDescent="0.3">
      <c r="B80" s="38" t="s">
        <v>19</v>
      </c>
      <c r="C80" s="36">
        <v>0.5</v>
      </c>
      <c r="D80" s="36">
        <v>1</v>
      </c>
      <c r="E80" s="36">
        <v>1</v>
      </c>
      <c r="F80" s="39"/>
    </row>
    <row r="81" spans="2:9" ht="15.6" x14ac:dyDescent="0.3">
      <c r="B81" s="38" t="s">
        <v>20</v>
      </c>
      <c r="C81" s="32"/>
      <c r="D81" s="32"/>
      <c r="E81" s="32"/>
      <c r="F81" s="45">
        <f>SUM(C79:E79)</f>
        <v>370000</v>
      </c>
      <c r="H81" s="35"/>
      <c r="I81" s="58"/>
    </row>
    <row r="82" spans="2:9" x14ac:dyDescent="0.3">
      <c r="B82" s="38"/>
      <c r="C82" s="32"/>
      <c r="D82" s="32"/>
      <c r="E82" s="32"/>
      <c r="F82" s="39"/>
      <c r="H82" s="59"/>
    </row>
    <row r="83" spans="2:9" ht="35.25" customHeight="1" thickBot="1" x14ac:dyDescent="0.35">
      <c r="B83" s="40" t="s">
        <v>21</v>
      </c>
      <c r="C83" s="41"/>
      <c r="D83" s="41"/>
      <c r="E83" s="41"/>
      <c r="F83" s="42"/>
    </row>
    <row r="84" spans="2:9" x14ac:dyDescent="0.3">
      <c r="H84" s="35"/>
      <c r="I84" s="58"/>
    </row>
    <row r="85" spans="2:9" ht="38.25" customHeight="1" x14ac:dyDescent="0.3">
      <c r="H85" s="59"/>
    </row>
    <row r="86" spans="2:9" s="37" customFormat="1" ht="15.6" x14ac:dyDescent="0.3">
      <c r="B86" s="100" t="s">
        <v>37</v>
      </c>
      <c r="C86" s="100"/>
      <c r="D86" s="100"/>
      <c r="E86" s="100"/>
    </row>
    <row r="87" spans="2:9" ht="9" customHeight="1" thickBot="1" x14ac:dyDescent="0.35"/>
    <row r="88" spans="2:9" ht="43.2" customHeight="1" thickBot="1" x14ac:dyDescent="0.35">
      <c r="B88" s="52" t="s">
        <v>17</v>
      </c>
      <c r="C88" s="50" t="s">
        <v>36</v>
      </c>
      <c r="D88" s="50" t="s">
        <v>27</v>
      </c>
      <c r="E88" s="55" t="s">
        <v>40</v>
      </c>
    </row>
    <row r="89" spans="2:9" x14ac:dyDescent="0.3">
      <c r="B89" s="46" t="s">
        <v>31</v>
      </c>
      <c r="C89" s="54" t="s">
        <v>39</v>
      </c>
      <c r="D89" s="54" t="s">
        <v>39</v>
      </c>
      <c r="E89" s="48"/>
    </row>
    <row r="90" spans="2:9" x14ac:dyDescent="0.3">
      <c r="B90" s="38" t="s">
        <v>19</v>
      </c>
      <c r="C90" s="36">
        <v>1</v>
      </c>
      <c r="D90" s="36">
        <v>1</v>
      </c>
      <c r="E90" s="39"/>
    </row>
    <row r="91" spans="2:9" x14ac:dyDescent="0.3">
      <c r="B91" s="38" t="s">
        <v>20</v>
      </c>
      <c r="C91" s="32">
        <v>0</v>
      </c>
      <c r="D91" s="32">
        <v>0</v>
      </c>
      <c r="E91" s="39"/>
    </row>
    <row r="92" spans="2:9" x14ac:dyDescent="0.3">
      <c r="B92" s="38"/>
      <c r="C92" s="32"/>
      <c r="D92" s="32"/>
      <c r="E92" s="39"/>
      <c r="G92" s="35"/>
    </row>
    <row r="93" spans="2:9" ht="30" customHeight="1" thickBot="1" x14ac:dyDescent="0.35">
      <c r="B93" s="40" t="s">
        <v>21</v>
      </c>
      <c r="C93" s="41"/>
      <c r="D93" s="41"/>
      <c r="E93" s="43"/>
    </row>
    <row r="104" spans="1:10" ht="30" customHeight="1" x14ac:dyDescent="0.3">
      <c r="A104" s="31" t="s">
        <v>16</v>
      </c>
      <c r="B104" s="31" t="s">
        <v>22</v>
      </c>
    </row>
    <row r="106" spans="1:10" ht="61.95" customHeight="1" x14ac:dyDescent="0.3">
      <c r="B106" s="32" t="s">
        <v>17</v>
      </c>
      <c r="C106" s="5" t="s">
        <v>24</v>
      </c>
      <c r="D106" s="5" t="s">
        <v>32</v>
      </c>
      <c r="E106" s="5" t="s">
        <v>26</v>
      </c>
      <c r="F106" s="5" t="s">
        <v>26</v>
      </c>
      <c r="G106" s="5" t="s">
        <v>33</v>
      </c>
    </row>
    <row r="107" spans="1:10" x14ac:dyDescent="0.3">
      <c r="B107" s="32" t="s">
        <v>31</v>
      </c>
      <c r="C107" s="33">
        <v>120000</v>
      </c>
      <c r="D107" s="34">
        <v>56000</v>
      </c>
      <c r="E107" s="33">
        <f>56000/2</f>
        <v>28000</v>
      </c>
      <c r="F107" s="33">
        <f>56000/2</f>
        <v>28000</v>
      </c>
      <c r="G107" s="33"/>
      <c r="I107" s="31">
        <f>50000/12</f>
        <v>4166.666666666667</v>
      </c>
      <c r="J107" s="35"/>
    </row>
    <row r="108" spans="1:10" x14ac:dyDescent="0.3">
      <c r="B108" s="32" t="s">
        <v>19</v>
      </c>
      <c r="C108" s="36">
        <v>1</v>
      </c>
      <c r="D108" s="36">
        <v>1</v>
      </c>
      <c r="E108" s="36">
        <v>0.5</v>
      </c>
      <c r="F108" s="36">
        <v>0.5</v>
      </c>
      <c r="G108" s="32"/>
    </row>
    <row r="109" spans="1:10" x14ac:dyDescent="0.3">
      <c r="B109" s="32" t="s">
        <v>20</v>
      </c>
      <c r="C109" s="32"/>
      <c r="D109" s="32"/>
      <c r="E109" s="32"/>
      <c r="F109" s="32"/>
      <c r="G109" s="32"/>
    </row>
    <row r="110" spans="1:10" x14ac:dyDescent="0.3">
      <c r="B110" s="32"/>
      <c r="C110" s="32"/>
      <c r="D110" s="32"/>
      <c r="E110" s="32"/>
      <c r="F110" s="32"/>
      <c r="G110" s="32"/>
    </row>
    <row r="111" spans="1:10" x14ac:dyDescent="0.3">
      <c r="B111" s="32" t="s">
        <v>21</v>
      </c>
      <c r="C111" s="32"/>
      <c r="D111" s="32"/>
      <c r="E111" s="32"/>
      <c r="F111" s="32"/>
      <c r="G111" s="33" t="e">
        <f>C107+D107+E107+#REF!+#REF!</f>
        <v>#REF!</v>
      </c>
    </row>
    <row r="113" spans="2:9" x14ac:dyDescent="0.3">
      <c r="B113" s="31" t="s">
        <v>23</v>
      </c>
    </row>
    <row r="115" spans="2:9" ht="31.5" customHeight="1" x14ac:dyDescent="0.3">
      <c r="B115" s="32" t="s">
        <v>17</v>
      </c>
      <c r="C115" s="9" t="s">
        <v>24</v>
      </c>
      <c r="D115" s="9" t="s">
        <v>25</v>
      </c>
      <c r="E115" s="9" t="s">
        <v>26</v>
      </c>
      <c r="F115" s="9" t="s">
        <v>26</v>
      </c>
      <c r="G115" s="5"/>
    </row>
    <row r="116" spans="2:9" x14ac:dyDescent="0.3">
      <c r="B116" s="32" t="s">
        <v>18</v>
      </c>
      <c r="C116" s="32"/>
      <c r="D116" s="32"/>
      <c r="E116" s="32"/>
      <c r="F116" s="32"/>
      <c r="G116" s="33"/>
      <c r="I116" s="31">
        <f>50000/12</f>
        <v>4166.666666666667</v>
      </c>
    </row>
    <row r="117" spans="2:9" x14ac:dyDescent="0.3">
      <c r="B117" s="32" t="s">
        <v>19</v>
      </c>
      <c r="C117" s="36"/>
      <c r="D117" s="36"/>
      <c r="E117" s="36"/>
      <c r="F117" s="36"/>
      <c r="G117" s="32"/>
    </row>
    <row r="118" spans="2:9" x14ac:dyDescent="0.3">
      <c r="B118" s="32" t="s">
        <v>20</v>
      </c>
      <c r="C118" s="32"/>
      <c r="D118" s="32"/>
      <c r="E118" s="32"/>
      <c r="F118" s="32"/>
      <c r="G118" s="32"/>
    </row>
    <row r="119" spans="2:9" x14ac:dyDescent="0.3">
      <c r="B119" s="32"/>
      <c r="C119" s="32"/>
      <c r="D119" s="32"/>
      <c r="E119" s="32"/>
      <c r="F119" s="32"/>
      <c r="G119" s="32"/>
    </row>
    <row r="120" spans="2:9" x14ac:dyDescent="0.3">
      <c r="B120" s="32" t="s">
        <v>21</v>
      </c>
      <c r="C120" s="32"/>
      <c r="D120" s="32"/>
      <c r="E120" s="32"/>
      <c r="F120" s="32"/>
      <c r="G120" s="32"/>
    </row>
    <row r="123" spans="2:9" x14ac:dyDescent="0.3">
      <c r="C123" s="31">
        <f>8500*14</f>
        <v>119000</v>
      </c>
      <c r="D123" s="31">
        <f>4000*14</f>
        <v>56000</v>
      </c>
      <c r="E123" s="31">
        <f>4000*14</f>
        <v>56000</v>
      </c>
      <c r="F123" s="31">
        <f>4000*14</f>
        <v>56000</v>
      </c>
    </row>
  </sheetData>
  <mergeCells count="2">
    <mergeCell ref="B86:E86"/>
    <mergeCell ref="B59:E59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docMetadata/LabelInfo.xml><?xml version="1.0" encoding="utf-8"?>
<clbl:labelList xmlns:clbl="http://schemas.microsoft.com/office/2020/mipLabelMetadata">
  <clbl:label id="{725ca717-11da-4935-b601-f527b9741f2e}" enabled="1" method="Standard" siteId="{d852d5cd-724c-4128-8812-ffa5db3f8507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2</vt:i4>
      </vt:variant>
    </vt:vector>
  </HeadingPairs>
  <TitlesOfParts>
    <vt:vector size="4" baseType="lpstr">
      <vt:lpstr>Variable cost exF+50%Transv</vt:lpstr>
      <vt:lpstr>Fixed cost exF+50% Transv</vt:lpstr>
      <vt:lpstr>'Fixed cost exF+50% Transv'!Area_stampa</vt:lpstr>
      <vt:lpstr>'Variable cost exF+50%Transv'!Area_stampa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ORIANA VALENTINO</dc:creator>
  <cp:lastModifiedBy>Patrizia Gariglio</cp:lastModifiedBy>
  <cp:lastPrinted>2025-01-02T09:18:29Z</cp:lastPrinted>
  <dcterms:created xsi:type="dcterms:W3CDTF">2024-06-03T15:52:55Z</dcterms:created>
  <dcterms:modified xsi:type="dcterms:W3CDTF">2026-05-03T17:24:56Z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25ca717-11da-4935-b601-f527b9741f2e_Enabled">
    <vt:lpwstr>true</vt:lpwstr>
  </property>
  <property fmtid="{D5CDD505-2E9C-101B-9397-08002B2CF9AE}" pid="3" name="MSIP_Label_725ca717-11da-4935-b601-f527b9741f2e_SetDate">
    <vt:lpwstr>2024-06-03T16:15:10Z</vt:lpwstr>
  </property>
  <property fmtid="{D5CDD505-2E9C-101B-9397-08002B2CF9AE}" pid="4" name="MSIP_Label_725ca717-11da-4935-b601-f527b9741f2e_Method">
    <vt:lpwstr>Standard</vt:lpwstr>
  </property>
  <property fmtid="{D5CDD505-2E9C-101B-9397-08002B2CF9AE}" pid="5" name="MSIP_Label_725ca717-11da-4935-b601-f527b9741f2e_Name">
    <vt:lpwstr>C2 - Internal</vt:lpwstr>
  </property>
  <property fmtid="{D5CDD505-2E9C-101B-9397-08002B2CF9AE}" pid="6" name="MSIP_Label_725ca717-11da-4935-b601-f527b9741f2e_SiteId">
    <vt:lpwstr>d852d5cd-724c-4128-8812-ffa5db3f8507</vt:lpwstr>
  </property>
  <property fmtid="{D5CDD505-2E9C-101B-9397-08002B2CF9AE}" pid="7" name="MSIP_Label_725ca717-11da-4935-b601-f527b9741f2e_ActionId">
    <vt:lpwstr>0306b637-ee25-466f-acaf-2dc059fef1aa</vt:lpwstr>
  </property>
  <property fmtid="{D5CDD505-2E9C-101B-9397-08002B2CF9AE}" pid="8" name="MSIP_Label_725ca717-11da-4935-b601-f527b9741f2e_ContentBits">
    <vt:lpwstr>0</vt:lpwstr>
  </property>
</Properties>
</file>