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\GARA\CONSEGNA 6 FARE\"/>
    </mc:Choice>
  </mc:AlternateContent>
  <xr:revisionPtr revIDLastSave="0" documentId="13_ncr:1_{9E974362-E6E0-4A15-986A-E34B71B36347}" xr6:coauthVersionLast="47" xr6:coauthVersionMax="47" xr10:uidLastSave="{00000000-0000-0000-0000-000000000000}"/>
  <bookViews>
    <workbookView xWindow="11220" yWindow="3975" windowWidth="22005" windowHeight="14010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Transv'!$A$26:$I$51</definedName>
    <definedName name="_xlnm.Print_Area" localSheetId="0">'Variable cost exF+50%Transv'!$A$59:$S$74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7" l="1"/>
  <c r="F21" i="7"/>
  <c r="E20" i="7"/>
  <c r="G21" i="7"/>
  <c r="E17" i="7"/>
  <c r="D17" i="7"/>
  <c r="E22" i="7"/>
  <c r="C15" i="7"/>
  <c r="D16" i="7"/>
  <c r="D9" i="7"/>
  <c r="E8" i="7"/>
  <c r="D8" i="7"/>
  <c r="C9" i="7"/>
  <c r="C8" i="7"/>
  <c r="D20" i="7"/>
  <c r="E19" i="7"/>
  <c r="E9" i="7"/>
  <c r="I7" i="7"/>
  <c r="E16" i="7"/>
  <c r="J7" i="7"/>
  <c r="I6" i="7"/>
  <c r="F10" i="7"/>
  <c r="C27" i="7"/>
  <c r="J29" i="7"/>
  <c r="K29" i="7" s="1"/>
  <c r="H29" i="7"/>
  <c r="I29" i="7" s="1"/>
  <c r="E27" i="7"/>
  <c r="D27" i="7"/>
  <c r="W9" i="3"/>
  <c r="R9" i="3"/>
  <c r="D15" i="3"/>
  <c r="D16" i="3"/>
  <c r="F15" i="3"/>
  <c r="D9" i="3"/>
  <c r="N9" i="3"/>
  <c r="I15" i="3"/>
  <c r="F31" i="7"/>
  <c r="E44" i="7"/>
  <c r="D44" i="7"/>
  <c r="J9" i="3"/>
  <c r="J15" i="3"/>
  <c r="J16" i="3" s="1"/>
  <c r="I16" i="3"/>
  <c r="H15" i="3"/>
  <c r="H16" i="3" s="1"/>
  <c r="F16" i="3"/>
  <c r="C44" i="7"/>
  <c r="C45" i="7" s="1"/>
  <c r="G9" i="3"/>
  <c r="F9" i="3"/>
  <c r="H9" i="3"/>
  <c r="P15" i="3"/>
  <c r="P16" i="3" s="1"/>
  <c r="O15" i="3"/>
  <c r="O16" i="3" s="1"/>
  <c r="N15" i="3"/>
  <c r="N16" i="3" s="1"/>
  <c r="M15" i="3"/>
  <c r="M16" i="3" s="1"/>
  <c r="L15" i="3"/>
  <c r="L16" i="3" s="1"/>
  <c r="K15" i="3"/>
  <c r="K16" i="3" s="1"/>
  <c r="G15" i="3"/>
  <c r="G16" i="3" s="1"/>
  <c r="F22" i="7" l="1"/>
  <c r="G22" i="7" s="1"/>
  <c r="R16" i="3"/>
  <c r="P9" i="3" l="1"/>
  <c r="O9" i="3"/>
  <c r="M9" i="3"/>
  <c r="L9" i="3"/>
  <c r="K9" i="3"/>
  <c r="I9" i="3"/>
  <c r="E49" i="7"/>
  <c r="E47" i="7"/>
  <c r="D49" i="7"/>
  <c r="D47" i="7"/>
  <c r="C49" i="7"/>
  <c r="C50" i="7" s="1"/>
  <c r="C47" i="7"/>
  <c r="C48" i="7" s="1"/>
  <c r="O33" i="7"/>
  <c r="M55" i="3"/>
  <c r="M56" i="3" s="1"/>
  <c r="L55" i="3"/>
  <c r="L56" i="3" s="1"/>
  <c r="F55" i="3"/>
  <c r="F56" i="3" s="1"/>
  <c r="P41" i="3"/>
  <c r="O41" i="3"/>
  <c r="N41" i="3"/>
  <c r="M41" i="3"/>
  <c r="L41" i="3"/>
  <c r="K41" i="3"/>
  <c r="J41" i="3"/>
  <c r="I41" i="3"/>
  <c r="H41" i="3"/>
  <c r="G41" i="3"/>
  <c r="F41" i="3"/>
  <c r="D41" i="3"/>
  <c r="F34" i="3"/>
  <c r="D34" i="3"/>
  <c r="F53" i="3"/>
  <c r="F54" i="3" s="1"/>
  <c r="P34" i="3"/>
  <c r="O34" i="3"/>
  <c r="N34" i="3"/>
  <c r="M34" i="3"/>
  <c r="L34" i="3"/>
  <c r="K34" i="3"/>
  <c r="J34" i="3"/>
  <c r="I34" i="3"/>
  <c r="H34" i="3"/>
  <c r="G34" i="3"/>
  <c r="F26" i="3"/>
  <c r="D26" i="3"/>
  <c r="P26" i="3"/>
  <c r="O26" i="3"/>
  <c r="N26" i="3"/>
  <c r="M26" i="3"/>
  <c r="L26" i="3"/>
  <c r="K26" i="3"/>
  <c r="J26" i="3"/>
  <c r="I26" i="3"/>
  <c r="H26" i="3"/>
  <c r="G26" i="3"/>
  <c r="P51" i="3"/>
  <c r="P52" i="3" s="1"/>
  <c r="O51" i="3"/>
  <c r="O52" i="3" s="1"/>
  <c r="N51" i="3"/>
  <c r="N52" i="3" s="1"/>
  <c r="M51" i="3"/>
  <c r="M52" i="3" s="1"/>
  <c r="L51" i="3"/>
  <c r="L52" i="3" s="1"/>
  <c r="K51" i="3"/>
  <c r="K52" i="3" s="1"/>
  <c r="J51" i="3"/>
  <c r="J52" i="3" s="1"/>
  <c r="I51" i="3"/>
  <c r="I52" i="3" s="1"/>
  <c r="H51" i="3"/>
  <c r="H52" i="3" s="1"/>
  <c r="G51" i="3"/>
  <c r="G52" i="3" s="1"/>
  <c r="F51" i="3"/>
  <c r="F52" i="3" s="1"/>
  <c r="D51" i="3"/>
  <c r="D52" i="3" s="1"/>
  <c r="P55" i="3"/>
  <c r="P56" i="3" s="1"/>
  <c r="O55" i="3"/>
  <c r="O56" i="3" s="1"/>
  <c r="N55" i="3"/>
  <c r="N56" i="3" s="1"/>
  <c r="K55" i="3"/>
  <c r="K56" i="3" s="1"/>
  <c r="J55" i="3"/>
  <c r="J56" i="3" s="1"/>
  <c r="I55" i="3"/>
  <c r="I56" i="3" s="1"/>
  <c r="H55" i="3"/>
  <c r="H56" i="3" s="1"/>
  <c r="G55" i="3"/>
  <c r="G56" i="3" s="1"/>
  <c r="D55" i="3"/>
  <c r="D56" i="3" s="1"/>
  <c r="P53" i="3"/>
  <c r="P54" i="3" s="1"/>
  <c r="O53" i="3"/>
  <c r="O54" i="3" s="1"/>
  <c r="N53" i="3"/>
  <c r="N54" i="3" s="1"/>
  <c r="M53" i="3"/>
  <c r="M54" i="3" s="1"/>
  <c r="L53" i="3"/>
  <c r="L54" i="3" s="1"/>
  <c r="K53" i="3"/>
  <c r="K54" i="3" s="1"/>
  <c r="I53" i="3"/>
  <c r="I54" i="3" s="1"/>
  <c r="J53" i="3"/>
  <c r="J54" i="3" s="1"/>
  <c r="H53" i="3"/>
  <c r="H54" i="3" s="1"/>
  <c r="G53" i="3"/>
  <c r="G54" i="3" s="1"/>
  <c r="D53" i="3"/>
  <c r="D54" i="3" s="1"/>
  <c r="P66" i="3"/>
  <c r="O66" i="3"/>
  <c r="N66" i="3"/>
  <c r="M66" i="3"/>
  <c r="L66" i="3"/>
  <c r="K66" i="3"/>
  <c r="J66" i="3"/>
  <c r="I66" i="3"/>
  <c r="H66" i="3"/>
  <c r="G66" i="3"/>
  <c r="F66" i="3"/>
  <c r="D66" i="3"/>
  <c r="R41" i="3" l="1"/>
  <c r="R26" i="3"/>
  <c r="E48" i="7"/>
  <c r="E50" i="7"/>
  <c r="R34" i="3"/>
  <c r="D45" i="7"/>
  <c r="E45" i="7"/>
  <c r="D48" i="7"/>
  <c r="D50" i="7"/>
  <c r="R54" i="3"/>
  <c r="R52" i="3"/>
  <c r="R56" i="3"/>
  <c r="T41" i="3" s="1"/>
  <c r="R66" i="3"/>
  <c r="D55" i="7"/>
  <c r="P49" i="3"/>
  <c r="O49" i="3"/>
  <c r="N49" i="3"/>
  <c r="M49" i="3"/>
  <c r="L49" i="3"/>
  <c r="J49" i="3"/>
  <c r="I49" i="3"/>
  <c r="H49" i="3"/>
  <c r="G49" i="3"/>
  <c r="F49" i="3"/>
  <c r="D49" i="3"/>
  <c r="E55" i="7"/>
  <c r="F57" i="7" l="1"/>
  <c r="H50" i="7"/>
  <c r="H45" i="7"/>
  <c r="H48" i="7"/>
  <c r="R73" i="3"/>
  <c r="R74" i="3" s="1"/>
  <c r="R70" i="3"/>
  <c r="R71" i="3" s="1"/>
  <c r="R67" i="3"/>
  <c r="R68" i="3"/>
  <c r="F99" i="7"/>
  <c r="F83" i="7"/>
  <c r="E99" i="7"/>
  <c r="D99" i="7"/>
  <c r="C99" i="7"/>
  <c r="I92" i="7"/>
  <c r="I83" i="7"/>
  <c r="E83" i="7"/>
  <c r="G87" i="7" s="1"/>
  <c r="K49" i="3" l="1"/>
  <c r="R49" i="3" s="1"/>
  <c r="T34" i="3" l="1"/>
  <c r="T26" i="3"/>
</calcChain>
</file>

<file path=xl/sharedStrings.xml><?xml version="1.0" encoding="utf-8"?>
<sst xmlns="http://schemas.openxmlformats.org/spreadsheetml/2006/main" count="218" uniqueCount="69">
  <si>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</si>
  <si>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</si>
  <si>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</si>
  <si>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</si>
  <si>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</si>
  <si>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</si>
  <si>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</si>
  <si>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</si>
  <si>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</si>
  <si>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</si>
  <si>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</si>
  <si>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</si>
  <si>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</si>
  <si>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</si>
  <si>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</si>
  <si>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</si>
  <si>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</si>
  <si>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</si>
  <si>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Customer Facing ( Yes / No) </t>
  </si>
  <si>
    <t xml:space="preserve">Full Time Equivalent % </t>
  </si>
  <si>
    <t xml:space="preserve">Total  Cost  Fixed </t>
  </si>
  <si>
    <t>If needed ; Variable Cost per day</t>
  </si>
  <si>
    <t xml:space="preserve">GLOBAL PROGRAM OFFICE </t>
  </si>
  <si>
    <t xml:space="preserve">SUPPORTING ROLES </t>
  </si>
  <si>
    <t>GOVERNANCE ACCOUNT MANAGER</t>
  </si>
  <si>
    <t>PROJECT MANAGER</t>
  </si>
  <si>
    <t>SALES SENIOR TRAINING SPECIALIST</t>
  </si>
  <si>
    <t>AGENCY INTERNAL EXPERT</t>
  </si>
  <si>
    <t>2025 Volume</t>
  </si>
  <si>
    <t>2025 TOTAL Price</t>
  </si>
  <si>
    <t>2025 50% Volume Transv</t>
  </si>
  <si>
    <t xml:space="preserve">Customer Facing ( Yes) </t>
  </si>
  <si>
    <t>PROJECT MANAGER included in deliverables</t>
  </si>
  <si>
    <t>total</t>
  </si>
  <si>
    <t xml:space="preserve">2 SENIOR PROJECT MANAGERS </t>
  </si>
  <si>
    <t>2 JUNIOR TRAINING SPECIALIST</t>
  </si>
  <si>
    <t>4 PROJECT MANAGERS (COORDINATORS)</t>
  </si>
  <si>
    <t>SUPPORTING ROLES Included in deliverables cost</t>
  </si>
  <si>
    <t xml:space="preserve">Customer Facing (Yes) </t>
  </si>
  <si>
    <t>yes</t>
  </si>
  <si>
    <t>3rd PARTY EXPERTS</t>
  </si>
  <si>
    <t>GLOBAL PROGRAM OFFICE 2</t>
  </si>
  <si>
    <t>CONSEGNA 3</t>
  </si>
  <si>
    <t>CONSEGNA 4</t>
  </si>
  <si>
    <t>sconto totale</t>
  </si>
  <si>
    <t>GLOBAL PROGRAM OFFICE 2 / 218 GIORNI</t>
  </si>
  <si>
    <t>ASSUNTI</t>
  </si>
  <si>
    <t>14 MENSILITà con contrib</t>
  </si>
  <si>
    <t>CONSEGNA 5</t>
  </si>
  <si>
    <t>???</t>
  </si>
  <si>
    <t>xxx</t>
  </si>
  <si>
    <t>al dipendente a mese lordo</t>
  </si>
  <si>
    <t>costo koine 14 mens lordo</t>
  </si>
  <si>
    <t>cost a risorsa offerta</t>
  </si>
  <si>
    <t>Lavinia COSTO a dario 60.000</t>
  </si>
  <si>
    <t>SOMMA GIORNI</t>
  </si>
  <si>
    <t>Project management spittato : 218 per senior e junior</t>
  </si>
  <si>
    <t>Project management spittato : 109 account manager</t>
  </si>
  <si>
    <t>2 SENIOR PROJECT MANAGEMENT ACTIVITY  Ivan Regaldo</t>
  </si>
  <si>
    <t>2 JUNIOR TRAINING SPECIALIST MANAGEMENT ACTIVITY   Lavinia Miglietti hind</t>
  </si>
  <si>
    <t xml:space="preserve">GOVERNANCE ACCOUNT MANAGEMENT ACTIVITY  </t>
  </si>
  <si>
    <t>GLOBAL PROGRAM OFFICE 2 / 218 DAYS</t>
  </si>
  <si>
    <t>Any additional resources (not included in this bid) will be quoted on demand at 30% in più</t>
  </si>
  <si>
    <t>costo a persona</t>
  </si>
  <si>
    <t>Cost  per day (on the basis of 218 working days)</t>
  </si>
  <si>
    <t>60000 o 65000</t>
  </si>
  <si>
    <t>GENNY ANNO  46000</t>
  </si>
  <si>
    <t>costo noi a persona 14 mensilità</t>
  </si>
  <si>
    <t>guadagno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</si>
</sst>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3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0" xfId="0" applyNumberFormat="1"/>
    <xf numFmtId="2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/>
    <xf numFmtId="165" fontId="0" fillId="0" borderId="12" xfId="0" applyNumberFormat="1" applyBorder="1"/>
    <xf numFmtId="2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22" xfId="0" applyBorder="1"/>
    <xf numFmtId="0" fontId="1" fillId="0" borderId="1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2" fontId="0" fillId="0" borderId="5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4" fillId="0" borderId="0" xfId="0" applyFont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5" fillId="0" borderId="3" xfId="0" applyFont="1" applyBorder="1"/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164" fontId="1" fillId="0" borderId="0" xfId="0" applyNumberFormat="1" applyFont="1"/>
    <xf numFmtId="4" fontId="0" fillId="0" borderId="0" xfId="0" applyNumberFormat="1"/>
    <xf numFmtId="4" fontId="1" fillId="0" borderId="29" xfId="0" applyNumberFormat="1" applyFont="1" applyBorder="1"/>
    <xf numFmtId="4" fontId="0" fillId="0" borderId="29" xfId="0" applyNumberFormat="1" applyBorder="1"/>
    <xf numFmtId="4" fontId="1" fillId="0" borderId="0" xfId="0" applyNumberFormat="1" applyFont="1"/>
    <xf numFmtId="4" fontId="0" fillId="0" borderId="15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29" xfId="0" applyNumberFormat="1" applyBorder="1" applyAlignment="1">
      <alignment wrapText="1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20" xfId="0" applyNumberFormat="1" applyBorder="1"/>
    <xf numFmtId="4" fontId="0" fillId="0" borderId="16" xfId="0" applyNumberFormat="1" applyBorder="1"/>
    <xf numFmtId="4" fontId="5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wrapText="1"/>
    </xf>
    <xf numFmtId="0" fontId="0" fillId="0" borderId="26" xfId="0" applyBorder="1" applyAlignment="1">
      <alignment wrapText="1"/>
    </xf>
    <xf numFmtId="4" fontId="0" fillId="0" borderId="26" xfId="0" applyNumberFormat="1" applyBorder="1" applyAlignment="1">
      <alignment wrapText="1"/>
    </xf>
    <xf numFmtId="9" fontId="0" fillId="0" borderId="26" xfId="0" applyNumberForma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267658</xdr:colOff>
      <xdr:row>43</xdr:row>
      <xdr:rowOff>282849</xdr:rowOff>
    </xdr:from>
    <xdr:to>
      <xdr:col>20</xdr:col>
      <xdr:colOff>463955</xdr:colOff>
      <xdr:row>45</xdr:row>
      <xdr:rowOff>1055329</xdr:rowOff>
    </xdr:to>
    <xdr:sp macro="" textlink="">
      <xdr:nvSpPr>
        <xdr:cNvPr id="2" name="ZoneText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74917" y="868120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18</xdr:col>
      <xdr:colOff>325038</xdr:colOff>
      <xdr:row>56</xdr:row>
      <xdr:rowOff>53331</xdr:rowOff>
    </xdr:from>
    <xdr:to>
      <xdr:col>23</xdr:col>
      <xdr:colOff>96726</xdr:colOff>
      <xdr:row>62</xdr:row>
      <xdr:rowOff>45449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E7F9A8C8-95CD-4A0C-928C-51D5EAE21FC2}"/>
            </a:ext>
          </a:extLst>
        </xdr:cNvPr>
        <xdr:cNvSpPr txBox="1"/>
      </xdr:nvSpPr>
      <xdr:spPr>
        <a:xfrm>
          <a:off x="18032357" y="12734204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20</xdr:row>
      <xdr:rowOff>282849</xdr:rowOff>
    </xdr:from>
    <xdr:to>
      <xdr:col>20</xdr:col>
      <xdr:colOff>463955</xdr:colOff>
      <xdr:row>22</xdr:row>
      <xdr:rowOff>1055329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D1F4D469-775D-4F68-BD2A-CDB60156284B}"/>
            </a:ext>
          </a:extLst>
        </xdr:cNvPr>
        <xdr:cNvSpPr txBox="1"/>
      </xdr:nvSpPr>
      <xdr:spPr>
        <a:xfrm>
          <a:off x="16574917" y="2038662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28</xdr:row>
      <xdr:rowOff>282849</xdr:rowOff>
    </xdr:from>
    <xdr:to>
      <xdr:col>20</xdr:col>
      <xdr:colOff>463955</xdr:colOff>
      <xdr:row>30</xdr:row>
      <xdr:rowOff>1055329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25F9074-DBF5-4344-8824-7F9F7123A110}"/>
            </a:ext>
          </a:extLst>
        </xdr:cNvPr>
        <xdr:cNvSpPr txBox="1"/>
      </xdr:nvSpPr>
      <xdr:spPr>
        <a:xfrm>
          <a:off x="16574917" y="477939"/>
          <a:ext cx="2812803" cy="1461035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35</xdr:row>
      <xdr:rowOff>282849</xdr:rowOff>
    </xdr:from>
    <xdr:to>
      <xdr:col>20</xdr:col>
      <xdr:colOff>463955</xdr:colOff>
      <xdr:row>37</xdr:row>
      <xdr:rowOff>1055329</xdr:rowOff>
    </xdr:to>
    <xdr:sp macro="" textlink="">
      <xdr:nvSpPr>
        <xdr:cNvPr id="6" name="ZoneTexte 4">
          <a:extLst>
            <a:ext uri="{FF2B5EF4-FFF2-40B4-BE49-F238E27FC236}">
              <a16:creationId xmlns:a16="http://schemas.microsoft.com/office/drawing/2014/main" id="{FB4B09E4-B899-40C8-957F-AE7D6262E5D5}"/>
            </a:ext>
          </a:extLst>
        </xdr:cNvPr>
        <xdr:cNvSpPr txBox="1"/>
      </xdr:nvSpPr>
      <xdr:spPr>
        <a:xfrm>
          <a:off x="16574917" y="3404295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</xdr:col>
      <xdr:colOff>217714</xdr:colOff>
      <xdr:row>10</xdr:row>
      <xdr:rowOff>48381</xdr:rowOff>
    </xdr:from>
    <xdr:to>
      <xdr:col>3</xdr:col>
      <xdr:colOff>813155</xdr:colOff>
      <xdr:row>13</xdr:row>
      <xdr:rowOff>967619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665238" y="3289905"/>
          <a:ext cx="3014488" cy="146352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2:Y74"/>
  <sheetViews>
    <sheetView zoomScale="63" zoomScaleNormal="63" workbookViewId="0">
      <selection activeCell="T13" sqref="T13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11" bestFit="1" customWidth="1"/>
    <col min="23" max="23" width="27" customWidth="1"/>
  </cols>
  <sheetData>
    <row r="2" spans="2:25" x14ac:dyDescent="0.25">
      <c r="B2" t="s">
        <v>43</v>
      </c>
      <c r="D2">
        <v>2</v>
      </c>
      <c r="F2">
        <v>2</v>
      </c>
      <c r="H2">
        <v>2</v>
      </c>
      <c r="I2">
        <v>2</v>
      </c>
      <c r="J2">
        <v>2</v>
      </c>
    </row>
    <row r="3" spans="2:25" ht="15.75" thickBot="1" x14ac:dyDescent="0.3"/>
    <row r="4" spans="2:25" ht="39" customHeight="1" thickBot="1" x14ac:dyDescent="0.3">
      <c r="B4" s="102"/>
      <c r="C4" s="104" t="s">
        <v>1</v>
      </c>
      <c r="D4" s="104"/>
      <c r="E4" s="105"/>
      <c r="F4" s="10" t="s">
        <v>2</v>
      </c>
      <c r="G4" s="10" t="s">
        <v>3</v>
      </c>
      <c r="H4" s="10" t="s">
        <v>4</v>
      </c>
      <c r="I4" s="11" t="s">
        <v>5</v>
      </c>
      <c r="J4" s="11" t="s">
        <v>6</v>
      </c>
      <c r="K4" s="11" t="s">
        <v>7</v>
      </c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</row>
    <row r="5" spans="2:25" x14ac:dyDescent="0.25">
      <c r="B5" s="103"/>
      <c r="C5" s="3" t="s">
        <v>13</v>
      </c>
      <c r="D5" s="4" t="s">
        <v>14</v>
      </c>
      <c r="E5" s="4" t="s">
        <v>15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2:25" s="8" customFormat="1" ht="88.9" customHeight="1" x14ac:dyDescent="0.25">
      <c r="B6" s="71" t="s">
        <v>0</v>
      </c>
      <c r="C6" s="66">
        <v>0</v>
      </c>
      <c r="D6" s="72">
        <v>19600</v>
      </c>
      <c r="E6" s="67">
        <v>0</v>
      </c>
      <c r="F6" s="73">
        <v>29400</v>
      </c>
      <c r="G6" s="68">
        <v>5000</v>
      </c>
      <c r="H6" s="73">
        <v>19600</v>
      </c>
      <c r="I6" s="73">
        <v>14700</v>
      </c>
      <c r="J6" s="73">
        <v>10700</v>
      </c>
      <c r="K6" s="68">
        <v>15000</v>
      </c>
      <c r="L6" s="68">
        <v>4000</v>
      </c>
      <c r="M6" s="68">
        <v>9000</v>
      </c>
      <c r="N6" s="73">
        <v>14700</v>
      </c>
      <c r="O6" s="68">
        <v>5000</v>
      </c>
      <c r="P6" s="69">
        <v>1000</v>
      </c>
      <c r="W6" s="87">
        <v>1719000</v>
      </c>
      <c r="X6" s="88"/>
      <c r="Y6" s="88"/>
    </row>
    <row r="7" spans="2:25" x14ac:dyDescent="0.25">
      <c r="B7" s="74" t="s">
        <v>28</v>
      </c>
      <c r="C7" s="75">
        <v>0</v>
      </c>
      <c r="D7" s="76">
        <v>11</v>
      </c>
      <c r="E7" s="77">
        <v>0</v>
      </c>
      <c r="F7" s="77">
        <v>6</v>
      </c>
      <c r="G7" s="77">
        <v>6</v>
      </c>
      <c r="H7" s="77">
        <v>5</v>
      </c>
      <c r="I7" s="77">
        <v>6</v>
      </c>
      <c r="J7" s="77">
        <v>6</v>
      </c>
      <c r="K7" s="77">
        <v>6</v>
      </c>
      <c r="L7" s="77">
        <v>11</v>
      </c>
      <c r="M7" s="77">
        <v>11</v>
      </c>
      <c r="N7" s="77">
        <v>8.5</v>
      </c>
      <c r="O7" s="77">
        <v>0</v>
      </c>
      <c r="P7" s="78">
        <v>0</v>
      </c>
      <c r="W7" s="87">
        <v>1696100</v>
      </c>
      <c r="X7" s="89"/>
      <c r="Y7" s="89"/>
    </row>
    <row r="8" spans="2:25" ht="15.75" thickBot="1" x14ac:dyDescent="0.3">
      <c r="B8" s="79" t="s">
        <v>30</v>
      </c>
      <c r="C8" s="80">
        <v>0</v>
      </c>
      <c r="D8" s="81">
        <v>6</v>
      </c>
      <c r="E8" s="81">
        <v>0</v>
      </c>
      <c r="F8" s="81">
        <v>0</v>
      </c>
      <c r="G8" s="81">
        <v>0</v>
      </c>
      <c r="H8" s="81">
        <v>3.5</v>
      </c>
      <c r="I8" s="81">
        <v>0</v>
      </c>
      <c r="J8" s="81">
        <v>0</v>
      </c>
      <c r="K8" s="81">
        <v>0</v>
      </c>
      <c r="L8" s="81">
        <v>7.5</v>
      </c>
      <c r="M8" s="81">
        <v>0</v>
      </c>
      <c r="N8" s="81">
        <v>0.5</v>
      </c>
      <c r="O8" s="81">
        <v>5</v>
      </c>
      <c r="P8" s="82">
        <v>50</v>
      </c>
      <c r="W8" s="89"/>
      <c r="X8" s="89"/>
      <c r="Y8" s="89"/>
    </row>
    <row r="9" spans="2:25" s="20" customFormat="1" ht="26.25" customHeight="1" thickBot="1" x14ac:dyDescent="0.3">
      <c r="B9" s="83" t="s">
        <v>29</v>
      </c>
      <c r="C9" s="84"/>
      <c r="D9" s="85">
        <f>D6*17</f>
        <v>333200</v>
      </c>
      <c r="E9" s="85"/>
      <c r="F9" s="85">
        <f>F6*6</f>
        <v>176400</v>
      </c>
      <c r="G9" s="85">
        <f>G6*G7</f>
        <v>30000</v>
      </c>
      <c r="H9" s="85">
        <f>H6*8.5</f>
        <v>166600</v>
      </c>
      <c r="I9" s="85">
        <f>I6*6</f>
        <v>88200</v>
      </c>
      <c r="J9" s="85">
        <f>J6*6</f>
        <v>64200</v>
      </c>
      <c r="K9" s="85">
        <f>K6*K7</f>
        <v>90000</v>
      </c>
      <c r="L9" s="85">
        <f>L6*18.5</f>
        <v>74000</v>
      </c>
      <c r="M9" s="85">
        <f>M6*M7</f>
        <v>99000</v>
      </c>
      <c r="N9" s="85">
        <f>N6*9</f>
        <v>132300</v>
      </c>
      <c r="O9" s="85">
        <f>O6*5</f>
        <v>25000</v>
      </c>
      <c r="P9" s="86">
        <f>P6*50</f>
        <v>50000</v>
      </c>
      <c r="R9" s="21">
        <f>SUM(D9:P9)</f>
        <v>1328900</v>
      </c>
      <c r="W9" s="90">
        <f>W6-W7</f>
        <v>22900</v>
      </c>
      <c r="X9" s="91" t="s">
        <v>44</v>
      </c>
      <c r="Y9" s="91"/>
    </row>
    <row r="10" spans="2:25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R10" s="6"/>
      <c r="S10" s="58">
        <v>0.01</v>
      </c>
      <c r="W10" s="89"/>
      <c r="X10" s="89"/>
      <c r="Y10" s="89"/>
    </row>
    <row r="11" spans="2:25" x14ac:dyDescent="0.2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R11" s="6"/>
      <c r="S11" s="58"/>
    </row>
    <row r="12" spans="2:25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R12" s="6"/>
      <c r="S12" s="58"/>
    </row>
    <row r="13" spans="2: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R13" s="6"/>
      <c r="S13" s="58"/>
    </row>
    <row r="14" spans="2:25" ht="138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R14" s="6"/>
      <c r="S14" s="58">
        <v>0.03</v>
      </c>
    </row>
    <row r="15" spans="2:25" x14ac:dyDescent="0.25">
      <c r="B15" s="62">
        <v>2.5000000000000001E-2</v>
      </c>
      <c r="C15" s="62"/>
      <c r="D15" s="62">
        <f>20000*2%</f>
        <v>400</v>
      </c>
      <c r="E15" s="62"/>
      <c r="F15" s="62">
        <f>30000*2%</f>
        <v>600</v>
      </c>
      <c r="G15" s="62">
        <f>G10*2%</f>
        <v>0</v>
      </c>
      <c r="H15" s="62">
        <f>20000*2%</f>
        <v>400</v>
      </c>
      <c r="I15" s="62">
        <f>15000*2%</f>
        <v>300</v>
      </c>
      <c r="J15" s="62">
        <f>11000*2%</f>
        <v>220</v>
      </c>
      <c r="K15" s="62">
        <f t="shared" ref="K15:P15" si="0">K10*2%</f>
        <v>0</v>
      </c>
      <c r="L15" s="62">
        <f t="shared" si="0"/>
        <v>0</v>
      </c>
      <c r="M15" s="62">
        <f t="shared" si="0"/>
        <v>0</v>
      </c>
      <c r="N15" s="62">
        <f t="shared" si="0"/>
        <v>0</v>
      </c>
      <c r="O15" s="62">
        <f t="shared" si="0"/>
        <v>0</v>
      </c>
      <c r="P15" s="62">
        <f t="shared" si="0"/>
        <v>0</v>
      </c>
    </row>
    <row r="16" spans="2:25" x14ac:dyDescent="0.25">
      <c r="B16" s="62"/>
      <c r="C16" s="62"/>
      <c r="D16" s="63">
        <f>20000-D15</f>
        <v>19600</v>
      </c>
      <c r="E16" s="64"/>
      <c r="F16" s="63">
        <f>30000-F15</f>
        <v>29400</v>
      </c>
      <c r="G16" s="63">
        <f>G10-G15</f>
        <v>0</v>
      </c>
      <c r="H16" s="63">
        <f>20000-H15</f>
        <v>19600</v>
      </c>
      <c r="I16" s="63">
        <f>15000-I15</f>
        <v>14700</v>
      </c>
      <c r="J16" s="63">
        <f>11000-J15</f>
        <v>10780</v>
      </c>
      <c r="K16" s="63">
        <f t="shared" ref="K16:P16" si="1">K10-K15</f>
        <v>0</v>
      </c>
      <c r="L16" s="63">
        <f t="shared" si="1"/>
        <v>0</v>
      </c>
      <c r="M16" s="63">
        <f t="shared" si="1"/>
        <v>0</v>
      </c>
      <c r="N16" s="63">
        <f t="shared" si="1"/>
        <v>0</v>
      </c>
      <c r="O16" s="63">
        <f t="shared" si="1"/>
        <v>0</v>
      </c>
      <c r="P16" s="63">
        <f t="shared" si="1"/>
        <v>0</v>
      </c>
      <c r="R16" s="6">
        <f>SUM(D16:P16)</f>
        <v>94080</v>
      </c>
      <c r="S16" s="58">
        <v>0.02</v>
      </c>
    </row>
    <row r="18" spans="2:20" ht="167.45" customHeight="1" x14ac:dyDescent="0.25"/>
    <row r="20" spans="2:20" ht="15.75" thickBot="1" x14ac:dyDescent="0.3"/>
    <row r="21" spans="2:20" ht="39" customHeight="1" thickBot="1" x14ac:dyDescent="0.3">
      <c r="B21" s="106">
        <v>0.01</v>
      </c>
      <c r="C21" s="104" t="s">
        <v>1</v>
      </c>
      <c r="D21" s="104"/>
      <c r="E21" s="105"/>
      <c r="F21" s="10" t="s">
        <v>2</v>
      </c>
      <c r="G21" s="10" t="s">
        <v>3</v>
      </c>
      <c r="H21" s="10" t="s">
        <v>4</v>
      </c>
      <c r="I21" s="11" t="s">
        <v>5</v>
      </c>
      <c r="J21" s="11" t="s">
        <v>6</v>
      </c>
      <c r="K21" s="11" t="s">
        <v>7</v>
      </c>
      <c r="L21" s="11" t="s">
        <v>8</v>
      </c>
      <c r="M21" s="11" t="s">
        <v>9</v>
      </c>
      <c r="N21" s="11" t="s">
        <v>10</v>
      </c>
      <c r="O21" s="11" t="s">
        <v>11</v>
      </c>
      <c r="P21" s="11" t="s">
        <v>12</v>
      </c>
    </row>
    <row r="22" spans="2:20" x14ac:dyDescent="0.25">
      <c r="B22" s="107"/>
      <c r="C22" s="3" t="s">
        <v>13</v>
      </c>
      <c r="D22" s="4" t="s">
        <v>14</v>
      </c>
      <c r="E22" s="4" t="s">
        <v>15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  <row r="23" spans="2:20" s="8" customFormat="1" ht="88.9" customHeight="1" x14ac:dyDescent="0.25">
      <c r="B23" s="17" t="s">
        <v>0</v>
      </c>
      <c r="C23" s="66">
        <v>0</v>
      </c>
      <c r="D23" s="67">
        <v>19800</v>
      </c>
      <c r="E23" s="67">
        <v>0</v>
      </c>
      <c r="F23" s="68">
        <v>29700</v>
      </c>
      <c r="G23" s="68">
        <v>4950</v>
      </c>
      <c r="H23" s="68">
        <v>19800</v>
      </c>
      <c r="I23" s="68">
        <v>14850</v>
      </c>
      <c r="J23" s="68">
        <v>10890</v>
      </c>
      <c r="K23" s="68">
        <v>14850</v>
      </c>
      <c r="L23" s="68">
        <v>3960</v>
      </c>
      <c r="M23" s="68">
        <v>8910</v>
      </c>
      <c r="N23" s="68">
        <v>14850</v>
      </c>
      <c r="O23" s="68">
        <v>4980</v>
      </c>
      <c r="P23" s="69">
        <v>990</v>
      </c>
    </row>
    <row r="24" spans="2:20" x14ac:dyDescent="0.25">
      <c r="B24" s="18" t="s">
        <v>28</v>
      </c>
      <c r="C24" s="15">
        <v>0</v>
      </c>
      <c r="D24" s="57">
        <v>11</v>
      </c>
      <c r="E24" s="1">
        <v>0</v>
      </c>
      <c r="F24" s="1">
        <v>6</v>
      </c>
      <c r="G24" s="1">
        <v>6</v>
      </c>
      <c r="H24" s="1">
        <v>5</v>
      </c>
      <c r="I24" s="1">
        <v>6</v>
      </c>
      <c r="J24" s="1">
        <v>6</v>
      </c>
      <c r="K24" s="1">
        <v>6</v>
      </c>
      <c r="L24" s="1">
        <v>11</v>
      </c>
      <c r="M24" s="1">
        <v>11</v>
      </c>
      <c r="N24" s="1">
        <v>8.5</v>
      </c>
      <c r="O24" s="1">
        <v>0</v>
      </c>
      <c r="P24" s="2">
        <v>0</v>
      </c>
    </row>
    <row r="25" spans="2:20" ht="15.75" thickBot="1" x14ac:dyDescent="0.3">
      <c r="B25" s="19" t="s">
        <v>30</v>
      </c>
      <c r="C25" s="16">
        <v>0</v>
      </c>
      <c r="D25" s="12">
        <v>6</v>
      </c>
      <c r="E25" s="12">
        <v>0</v>
      </c>
      <c r="F25" s="12">
        <v>0</v>
      </c>
      <c r="G25" s="12">
        <v>0</v>
      </c>
      <c r="H25" s="12">
        <v>3.5</v>
      </c>
      <c r="I25" s="12">
        <v>0</v>
      </c>
      <c r="J25" s="12">
        <v>0</v>
      </c>
      <c r="K25" s="12">
        <v>0</v>
      </c>
      <c r="L25" s="12">
        <v>7.5</v>
      </c>
      <c r="M25" s="12">
        <v>0</v>
      </c>
      <c r="N25" s="13">
        <v>0.5</v>
      </c>
      <c r="O25" s="12">
        <v>5</v>
      </c>
      <c r="P25" s="22">
        <v>50</v>
      </c>
    </row>
    <row r="26" spans="2:20" s="20" customFormat="1" ht="26.25" customHeight="1" thickBot="1" x14ac:dyDescent="0.3">
      <c r="B26" s="23" t="s">
        <v>29</v>
      </c>
      <c r="C26" s="24"/>
      <c r="D26" s="25">
        <f>D23*17</f>
        <v>336600</v>
      </c>
      <c r="E26" s="26"/>
      <c r="F26" s="25">
        <f>F23*6</f>
        <v>178200</v>
      </c>
      <c r="G26" s="25">
        <f>G23*G24</f>
        <v>29700</v>
      </c>
      <c r="H26" s="25">
        <f>H23*8.5</f>
        <v>168300</v>
      </c>
      <c r="I26" s="25">
        <f>I23*6</f>
        <v>89100</v>
      </c>
      <c r="J26" s="25">
        <f>J23*6</f>
        <v>65340</v>
      </c>
      <c r="K26" s="25">
        <f>K23*K24</f>
        <v>89100</v>
      </c>
      <c r="L26" s="25">
        <f>L23*18.5</f>
        <v>73260</v>
      </c>
      <c r="M26" s="25">
        <f>M23*M24</f>
        <v>98010</v>
      </c>
      <c r="N26" s="25">
        <f>N23*9</f>
        <v>133650</v>
      </c>
      <c r="O26" s="25">
        <f>O23*5</f>
        <v>24900</v>
      </c>
      <c r="P26" s="27">
        <f>P23*50</f>
        <v>49500</v>
      </c>
      <c r="R26" s="21">
        <f>SUM(D26:P26)</f>
        <v>1335660</v>
      </c>
      <c r="T26" s="21">
        <f>R49-R26</f>
        <v>4070</v>
      </c>
    </row>
    <row r="28" spans="2:20" ht="15.75" thickBot="1" x14ac:dyDescent="0.3"/>
    <row r="29" spans="2:20" ht="39" customHeight="1" thickBot="1" x14ac:dyDescent="0.3">
      <c r="B29" s="106">
        <v>0.02</v>
      </c>
      <c r="C29" s="104" t="s">
        <v>1</v>
      </c>
      <c r="D29" s="104"/>
      <c r="E29" s="105"/>
      <c r="F29" s="10" t="s">
        <v>2</v>
      </c>
      <c r="G29" s="10" t="s">
        <v>3</v>
      </c>
      <c r="H29" s="10" t="s">
        <v>4</v>
      </c>
      <c r="I29" s="11" t="s">
        <v>5</v>
      </c>
      <c r="J29" s="11" t="s">
        <v>6</v>
      </c>
      <c r="K29" s="11" t="s">
        <v>7</v>
      </c>
      <c r="L29" s="11" t="s">
        <v>8</v>
      </c>
      <c r="M29" s="11" t="s">
        <v>9</v>
      </c>
      <c r="N29" s="11" t="s">
        <v>10</v>
      </c>
      <c r="O29" s="11" t="s">
        <v>11</v>
      </c>
      <c r="P29" s="11" t="s">
        <v>12</v>
      </c>
    </row>
    <row r="30" spans="2:20" x14ac:dyDescent="0.25">
      <c r="B30" s="107"/>
      <c r="C30" s="3" t="s">
        <v>13</v>
      </c>
      <c r="D30" s="4" t="s">
        <v>14</v>
      </c>
      <c r="E30" s="4" t="s">
        <v>15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2:20" s="8" customFormat="1" ht="88.9" customHeight="1" x14ac:dyDescent="0.25">
      <c r="B31" s="17" t="s">
        <v>0</v>
      </c>
      <c r="C31" s="66">
        <v>0</v>
      </c>
      <c r="D31" s="67">
        <v>19600</v>
      </c>
      <c r="E31" s="67">
        <v>0</v>
      </c>
      <c r="F31" s="68">
        <v>29400</v>
      </c>
      <c r="G31" s="68">
        <v>4900</v>
      </c>
      <c r="H31" s="68">
        <v>19600</v>
      </c>
      <c r="I31" s="68">
        <v>14700</v>
      </c>
      <c r="J31" s="68">
        <v>10780</v>
      </c>
      <c r="K31" s="68">
        <v>14700</v>
      </c>
      <c r="L31" s="68">
        <v>3920</v>
      </c>
      <c r="M31" s="68">
        <v>8820</v>
      </c>
      <c r="N31" s="68">
        <v>14700</v>
      </c>
      <c r="O31" s="68">
        <v>4900</v>
      </c>
      <c r="P31" s="69">
        <v>980</v>
      </c>
    </row>
    <row r="32" spans="2:20" x14ac:dyDescent="0.25">
      <c r="B32" s="18" t="s">
        <v>28</v>
      </c>
      <c r="C32" s="15">
        <v>0</v>
      </c>
      <c r="D32" s="57">
        <v>11</v>
      </c>
      <c r="E32" s="1">
        <v>0</v>
      </c>
      <c r="F32" s="1">
        <v>6</v>
      </c>
      <c r="G32" s="1">
        <v>6</v>
      </c>
      <c r="H32" s="1">
        <v>5</v>
      </c>
      <c r="I32" s="1">
        <v>6</v>
      </c>
      <c r="J32" s="1">
        <v>6</v>
      </c>
      <c r="K32" s="1">
        <v>6</v>
      </c>
      <c r="L32" s="1">
        <v>11</v>
      </c>
      <c r="M32" s="1">
        <v>11</v>
      </c>
      <c r="N32" s="1">
        <v>8.5</v>
      </c>
      <c r="O32" s="1">
        <v>0</v>
      </c>
      <c r="P32" s="2">
        <v>0</v>
      </c>
    </row>
    <row r="33" spans="2:20" ht="15.75" thickBot="1" x14ac:dyDescent="0.3">
      <c r="B33" s="19" t="s">
        <v>30</v>
      </c>
      <c r="C33" s="16">
        <v>0</v>
      </c>
      <c r="D33" s="12">
        <v>6</v>
      </c>
      <c r="E33" s="12">
        <v>0</v>
      </c>
      <c r="F33" s="12">
        <v>0</v>
      </c>
      <c r="G33" s="12">
        <v>0</v>
      </c>
      <c r="H33" s="12">
        <v>3.5</v>
      </c>
      <c r="I33" s="12">
        <v>0</v>
      </c>
      <c r="J33" s="12">
        <v>0</v>
      </c>
      <c r="K33" s="12">
        <v>0</v>
      </c>
      <c r="L33" s="12">
        <v>7.5</v>
      </c>
      <c r="M33" s="12">
        <v>0</v>
      </c>
      <c r="N33" s="13">
        <v>0.5</v>
      </c>
      <c r="O33" s="12">
        <v>5</v>
      </c>
      <c r="P33" s="22">
        <v>50</v>
      </c>
    </row>
    <row r="34" spans="2:20" s="20" customFormat="1" ht="26.25" customHeight="1" thickBot="1" x14ac:dyDescent="0.3">
      <c r="B34" s="23" t="s">
        <v>29</v>
      </c>
      <c r="C34" s="24"/>
      <c r="D34" s="25">
        <f>D31*17</f>
        <v>333200</v>
      </c>
      <c r="E34" s="26"/>
      <c r="F34" s="25">
        <f>F31*6</f>
        <v>176400</v>
      </c>
      <c r="G34" s="25">
        <f>G31*G32</f>
        <v>29400</v>
      </c>
      <c r="H34" s="25">
        <f>H31*8.5</f>
        <v>166600</v>
      </c>
      <c r="I34" s="25">
        <f>I31*6</f>
        <v>88200</v>
      </c>
      <c r="J34" s="25">
        <f>J31*6</f>
        <v>64680</v>
      </c>
      <c r="K34" s="25">
        <f>K31*K32</f>
        <v>88200</v>
      </c>
      <c r="L34" s="25">
        <f>L31*18.5</f>
        <v>72520</v>
      </c>
      <c r="M34" s="25">
        <f>M31*M32</f>
        <v>97020</v>
      </c>
      <c r="N34" s="25">
        <f>N31*9</f>
        <v>132300</v>
      </c>
      <c r="O34" s="25">
        <f>O31*5</f>
        <v>24500</v>
      </c>
      <c r="P34" s="27">
        <f>P31*50</f>
        <v>49000</v>
      </c>
      <c r="R34" s="21">
        <f>SUM(D34:P34)</f>
        <v>1322020</v>
      </c>
      <c r="T34" s="21">
        <f>R49-R34</f>
        <v>17710</v>
      </c>
    </row>
    <row r="35" spans="2:20" ht="15.75" thickBot="1" x14ac:dyDescent="0.3"/>
    <row r="36" spans="2:20" ht="39" customHeight="1" thickBot="1" x14ac:dyDescent="0.3">
      <c r="B36" s="106">
        <v>0.03</v>
      </c>
      <c r="C36" s="104" t="s">
        <v>1</v>
      </c>
      <c r="D36" s="104"/>
      <c r="E36" s="105"/>
      <c r="F36" s="10" t="s">
        <v>2</v>
      </c>
      <c r="G36" s="10" t="s">
        <v>3</v>
      </c>
      <c r="H36" s="10" t="s">
        <v>4</v>
      </c>
      <c r="I36" s="11" t="s">
        <v>5</v>
      </c>
      <c r="J36" s="11" t="s">
        <v>6</v>
      </c>
      <c r="K36" s="11" t="s">
        <v>7</v>
      </c>
      <c r="L36" s="11" t="s">
        <v>8</v>
      </c>
      <c r="M36" s="11" t="s">
        <v>9</v>
      </c>
      <c r="N36" s="11" t="s">
        <v>10</v>
      </c>
      <c r="O36" s="11" t="s">
        <v>11</v>
      </c>
      <c r="P36" s="11" t="s">
        <v>12</v>
      </c>
    </row>
    <row r="37" spans="2:20" x14ac:dyDescent="0.25">
      <c r="B37" s="107"/>
      <c r="C37" s="3" t="s">
        <v>13</v>
      </c>
      <c r="D37" s="4" t="s">
        <v>14</v>
      </c>
      <c r="E37" s="4" t="s">
        <v>15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2:20" s="8" customFormat="1" ht="88.9" customHeight="1" x14ac:dyDescent="0.25">
      <c r="B38" s="17" t="s">
        <v>0</v>
      </c>
      <c r="C38" s="66">
        <v>0</v>
      </c>
      <c r="D38" s="67">
        <v>19400</v>
      </c>
      <c r="E38" s="67">
        <v>0</v>
      </c>
      <c r="F38" s="68">
        <v>29100</v>
      </c>
      <c r="G38" s="68">
        <v>4850</v>
      </c>
      <c r="H38" s="68">
        <v>19400</v>
      </c>
      <c r="I38" s="68">
        <v>14550</v>
      </c>
      <c r="J38" s="68">
        <v>10670</v>
      </c>
      <c r="K38" s="68">
        <v>14550</v>
      </c>
      <c r="L38" s="68">
        <v>3920</v>
      </c>
      <c r="M38" s="68">
        <v>8820</v>
      </c>
      <c r="N38" s="68">
        <v>14700</v>
      </c>
      <c r="O38" s="68">
        <v>4900</v>
      </c>
      <c r="P38" s="69">
        <v>980</v>
      </c>
    </row>
    <row r="39" spans="2:20" x14ac:dyDescent="0.25">
      <c r="B39" s="18" t="s">
        <v>28</v>
      </c>
      <c r="C39" s="15">
        <v>0</v>
      </c>
      <c r="D39" s="57">
        <v>11</v>
      </c>
      <c r="E39" s="1">
        <v>0</v>
      </c>
      <c r="F39" s="1">
        <v>6</v>
      </c>
      <c r="G39" s="1">
        <v>6</v>
      </c>
      <c r="H39" s="1">
        <v>5</v>
      </c>
      <c r="I39" s="1">
        <v>6</v>
      </c>
      <c r="J39" s="1">
        <v>6</v>
      </c>
      <c r="K39" s="1">
        <v>6</v>
      </c>
      <c r="L39" s="1">
        <v>11</v>
      </c>
      <c r="M39" s="1">
        <v>11</v>
      </c>
      <c r="N39" s="1">
        <v>8.5</v>
      </c>
      <c r="O39" s="1">
        <v>0</v>
      </c>
      <c r="P39" s="2">
        <v>0</v>
      </c>
    </row>
    <row r="40" spans="2:20" ht="15.75" thickBot="1" x14ac:dyDescent="0.3">
      <c r="B40" s="19" t="s">
        <v>30</v>
      </c>
      <c r="C40" s="16">
        <v>0</v>
      </c>
      <c r="D40" s="12">
        <v>6</v>
      </c>
      <c r="E40" s="12">
        <v>0</v>
      </c>
      <c r="F40" s="12">
        <v>0</v>
      </c>
      <c r="G40" s="12">
        <v>0</v>
      </c>
      <c r="H40" s="12">
        <v>3.5</v>
      </c>
      <c r="I40" s="12">
        <v>0</v>
      </c>
      <c r="J40" s="12">
        <v>0</v>
      </c>
      <c r="K40" s="12">
        <v>0</v>
      </c>
      <c r="L40" s="12">
        <v>7.5</v>
      </c>
      <c r="M40" s="12">
        <v>0</v>
      </c>
      <c r="N40" s="13">
        <v>0.5</v>
      </c>
      <c r="O40" s="12">
        <v>5</v>
      </c>
      <c r="P40" s="22">
        <v>50</v>
      </c>
    </row>
    <row r="41" spans="2:20" s="20" customFormat="1" ht="26.25" customHeight="1" thickBot="1" x14ac:dyDescent="0.3">
      <c r="B41" s="23" t="s">
        <v>29</v>
      </c>
      <c r="C41" s="24"/>
      <c r="D41" s="25">
        <f>D38*17</f>
        <v>329800</v>
      </c>
      <c r="E41" s="26"/>
      <c r="F41" s="25">
        <f>F38*6</f>
        <v>174600</v>
      </c>
      <c r="G41" s="25">
        <f>G38*G39</f>
        <v>29100</v>
      </c>
      <c r="H41" s="25">
        <f>H38*8.5</f>
        <v>164900</v>
      </c>
      <c r="I41" s="25">
        <f>I38*6</f>
        <v>87300</v>
      </c>
      <c r="J41" s="25">
        <f>J38*6</f>
        <v>64020</v>
      </c>
      <c r="K41" s="25">
        <f>K38*K39</f>
        <v>87300</v>
      </c>
      <c r="L41" s="25">
        <f>L38*18.5</f>
        <v>72520</v>
      </c>
      <c r="M41" s="25">
        <f>M38*M39</f>
        <v>97020</v>
      </c>
      <c r="N41" s="25">
        <f>N38*9</f>
        <v>132300</v>
      </c>
      <c r="O41" s="25">
        <f>O38*5</f>
        <v>24500</v>
      </c>
      <c r="P41" s="27">
        <f>P38*50</f>
        <v>49000</v>
      </c>
      <c r="R41" s="21">
        <f>SUM(D41:P41)</f>
        <v>1312360</v>
      </c>
      <c r="T41" s="21">
        <f>R56-R41</f>
        <v>-1167622.3</v>
      </c>
    </row>
    <row r="43" spans="2:20" ht="15.75" thickBot="1" x14ac:dyDescent="0.3"/>
    <row r="44" spans="2:20" ht="39" customHeight="1" thickBot="1" x14ac:dyDescent="0.3">
      <c r="B44" s="102"/>
      <c r="C44" s="104" t="s">
        <v>1</v>
      </c>
      <c r="D44" s="104"/>
      <c r="E44" s="105"/>
      <c r="F44" s="10" t="s">
        <v>2</v>
      </c>
      <c r="G44" s="10" t="s">
        <v>3</v>
      </c>
      <c r="H44" s="10" t="s">
        <v>4</v>
      </c>
      <c r="I44" s="11" t="s">
        <v>5</v>
      </c>
      <c r="J44" s="11" t="s">
        <v>6</v>
      </c>
      <c r="K44" s="11" t="s">
        <v>7</v>
      </c>
      <c r="L44" s="11" t="s">
        <v>8</v>
      </c>
      <c r="M44" s="11" t="s">
        <v>9</v>
      </c>
      <c r="N44" s="11" t="s">
        <v>10</v>
      </c>
      <c r="O44" s="11" t="s">
        <v>11</v>
      </c>
      <c r="P44" s="11" t="s">
        <v>12</v>
      </c>
    </row>
    <row r="45" spans="2:20" x14ac:dyDescent="0.25">
      <c r="B45" s="103"/>
      <c r="C45" s="3" t="s">
        <v>13</v>
      </c>
      <c r="D45" s="4" t="s">
        <v>14</v>
      </c>
      <c r="E45" s="4" t="s">
        <v>15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2:20" s="8" customFormat="1" ht="88.9" customHeight="1" x14ac:dyDescent="0.25">
      <c r="B46" s="17" t="s">
        <v>0</v>
      </c>
      <c r="C46" s="14">
        <v>0</v>
      </c>
      <c r="D46" s="7">
        <v>20000</v>
      </c>
      <c r="E46" s="7">
        <v>0</v>
      </c>
      <c r="F46" s="30">
        <v>30000</v>
      </c>
      <c r="G46" s="30">
        <v>5000</v>
      </c>
      <c r="H46" s="30">
        <v>20000</v>
      </c>
      <c r="I46" s="30">
        <v>15000</v>
      </c>
      <c r="J46" s="30">
        <v>11000</v>
      </c>
      <c r="K46" s="30">
        <v>15000</v>
      </c>
      <c r="L46" s="30">
        <v>4000</v>
      </c>
      <c r="M46" s="30">
        <v>8730</v>
      </c>
      <c r="N46" s="30">
        <v>14550</v>
      </c>
      <c r="O46" s="30">
        <v>4850</v>
      </c>
      <c r="P46" s="31">
        <v>970</v>
      </c>
    </row>
    <row r="47" spans="2:20" x14ac:dyDescent="0.25">
      <c r="B47" s="18" t="s">
        <v>28</v>
      </c>
      <c r="C47" s="15">
        <v>0</v>
      </c>
      <c r="D47" s="57">
        <v>11</v>
      </c>
      <c r="E47" s="1">
        <v>0</v>
      </c>
      <c r="F47" s="1">
        <v>6</v>
      </c>
      <c r="G47" s="1">
        <v>6</v>
      </c>
      <c r="H47" s="1">
        <v>5</v>
      </c>
      <c r="I47" s="1">
        <v>6</v>
      </c>
      <c r="J47" s="1">
        <v>6</v>
      </c>
      <c r="K47" s="1">
        <v>6</v>
      </c>
      <c r="L47" s="1">
        <v>11</v>
      </c>
      <c r="M47" s="1">
        <v>11</v>
      </c>
      <c r="N47" s="1">
        <v>8.5</v>
      </c>
      <c r="O47" s="1">
        <v>0</v>
      </c>
      <c r="P47" s="2">
        <v>0</v>
      </c>
    </row>
    <row r="48" spans="2:20" ht="15.75" thickBot="1" x14ac:dyDescent="0.3">
      <c r="B48" s="19" t="s">
        <v>30</v>
      </c>
      <c r="C48" s="16">
        <v>0</v>
      </c>
      <c r="D48" s="12">
        <v>6</v>
      </c>
      <c r="E48" s="12">
        <v>0</v>
      </c>
      <c r="F48" s="12">
        <v>0</v>
      </c>
      <c r="G48" s="12">
        <v>0</v>
      </c>
      <c r="H48" s="12">
        <v>3.5</v>
      </c>
      <c r="I48" s="12">
        <v>0</v>
      </c>
      <c r="J48" s="12">
        <v>0</v>
      </c>
      <c r="K48" s="12">
        <v>0</v>
      </c>
      <c r="L48" s="12">
        <v>7.5</v>
      </c>
      <c r="M48" s="12">
        <v>0</v>
      </c>
      <c r="N48" s="13">
        <v>0.5</v>
      </c>
      <c r="O48" s="12">
        <v>5</v>
      </c>
      <c r="P48" s="22">
        <v>50</v>
      </c>
    </row>
    <row r="49" spans="2:19" s="20" customFormat="1" ht="26.25" customHeight="1" thickBot="1" x14ac:dyDescent="0.3">
      <c r="B49" s="23" t="s">
        <v>29</v>
      </c>
      <c r="C49" s="24"/>
      <c r="D49" s="25">
        <f>D46*17</f>
        <v>340000</v>
      </c>
      <c r="E49" s="26"/>
      <c r="F49" s="25">
        <f>F46*6</f>
        <v>180000</v>
      </c>
      <c r="G49" s="25">
        <f>G46*G47</f>
        <v>30000</v>
      </c>
      <c r="H49" s="25">
        <f>H46*8.5</f>
        <v>170000</v>
      </c>
      <c r="I49" s="25">
        <f>I46*6</f>
        <v>90000</v>
      </c>
      <c r="J49" s="25">
        <f>J46*6</f>
        <v>66000</v>
      </c>
      <c r="K49" s="25">
        <f>K46*K47</f>
        <v>90000</v>
      </c>
      <c r="L49" s="25">
        <f>L46*18.5</f>
        <v>74000</v>
      </c>
      <c r="M49" s="25">
        <f>M46*M47</f>
        <v>96030</v>
      </c>
      <c r="N49" s="25">
        <f>N46*9</f>
        <v>130950</v>
      </c>
      <c r="O49" s="25">
        <f>O46*5</f>
        <v>24250</v>
      </c>
      <c r="P49" s="27">
        <f>P46*50</f>
        <v>48500</v>
      </c>
      <c r="R49" s="21">
        <f>SUM(D49:P49)</f>
        <v>1339730</v>
      </c>
    </row>
    <row r="51" spans="2:19" x14ac:dyDescent="0.25">
      <c r="B51" s="58">
        <v>0.01</v>
      </c>
      <c r="D51" s="62">
        <f>20000*1%</f>
        <v>200</v>
      </c>
      <c r="E51" s="62"/>
      <c r="F51" s="62">
        <f>30000*1%</f>
        <v>300</v>
      </c>
      <c r="G51" s="62">
        <f>G46*1%</f>
        <v>50</v>
      </c>
      <c r="H51" s="62">
        <f>20000*1%</f>
        <v>200</v>
      </c>
      <c r="I51" s="62">
        <f t="shared" ref="I51:P51" si="2">I46*1%</f>
        <v>150</v>
      </c>
      <c r="J51" s="62">
        <f t="shared" si="2"/>
        <v>110</v>
      </c>
      <c r="K51" s="62">
        <f t="shared" si="2"/>
        <v>150</v>
      </c>
      <c r="L51" s="62">
        <f t="shared" si="2"/>
        <v>40</v>
      </c>
      <c r="M51" s="62">
        <f t="shared" si="2"/>
        <v>87.3</v>
      </c>
      <c r="N51" s="62">
        <f t="shared" si="2"/>
        <v>145.5</v>
      </c>
      <c r="O51" s="62">
        <f t="shared" si="2"/>
        <v>48.5</v>
      </c>
      <c r="P51" s="62">
        <f t="shared" si="2"/>
        <v>9.7000000000000011</v>
      </c>
      <c r="R51" s="6"/>
    </row>
    <row r="52" spans="2:19" x14ac:dyDescent="0.25">
      <c r="B52" s="58"/>
      <c r="D52" s="63">
        <f>20000-D51</f>
        <v>19800</v>
      </c>
      <c r="E52" s="64"/>
      <c r="F52" s="63">
        <f>30000-F51</f>
        <v>29700</v>
      </c>
      <c r="G52" s="63">
        <f>G46-G51</f>
        <v>4950</v>
      </c>
      <c r="H52" s="63">
        <f>20000-H51</f>
        <v>19800</v>
      </c>
      <c r="I52" s="63">
        <f t="shared" ref="I52:P52" si="3">I46-I51</f>
        <v>14850</v>
      </c>
      <c r="J52" s="63">
        <f t="shared" si="3"/>
        <v>10890</v>
      </c>
      <c r="K52" s="63">
        <f t="shared" si="3"/>
        <v>14850</v>
      </c>
      <c r="L52" s="63">
        <f t="shared" si="3"/>
        <v>3960</v>
      </c>
      <c r="M52" s="63">
        <f t="shared" si="3"/>
        <v>8642.7000000000007</v>
      </c>
      <c r="N52" s="63">
        <f t="shared" si="3"/>
        <v>14404.5</v>
      </c>
      <c r="O52" s="63">
        <f t="shared" si="3"/>
        <v>4801.5</v>
      </c>
      <c r="P52" s="63">
        <f t="shared" si="3"/>
        <v>960.3</v>
      </c>
      <c r="R52" s="6">
        <f>SUM(D52:P52)</f>
        <v>147609</v>
      </c>
      <c r="S52" s="58">
        <v>0.01</v>
      </c>
    </row>
    <row r="53" spans="2:19" x14ac:dyDescent="0.25">
      <c r="B53" s="58">
        <v>0.02</v>
      </c>
      <c r="D53" s="62">
        <f>D46*2%</f>
        <v>400</v>
      </c>
      <c r="E53" s="62"/>
      <c r="F53" s="62">
        <f>30000*2%</f>
        <v>600</v>
      </c>
      <c r="G53" s="62">
        <f t="shared" ref="G53:P53" si="4">G46*2%</f>
        <v>100</v>
      </c>
      <c r="H53" s="62">
        <f t="shared" si="4"/>
        <v>400</v>
      </c>
      <c r="I53" s="62">
        <f t="shared" si="4"/>
        <v>300</v>
      </c>
      <c r="J53" s="62">
        <f t="shared" si="4"/>
        <v>220</v>
      </c>
      <c r="K53" s="62">
        <f t="shared" si="4"/>
        <v>300</v>
      </c>
      <c r="L53" s="62">
        <f t="shared" si="4"/>
        <v>80</v>
      </c>
      <c r="M53" s="62">
        <f t="shared" si="4"/>
        <v>174.6</v>
      </c>
      <c r="N53" s="62">
        <f t="shared" si="4"/>
        <v>291</v>
      </c>
      <c r="O53" s="62">
        <f t="shared" si="4"/>
        <v>97</v>
      </c>
      <c r="P53" s="62">
        <f t="shared" si="4"/>
        <v>19.400000000000002</v>
      </c>
    </row>
    <row r="54" spans="2:19" x14ac:dyDescent="0.25">
      <c r="D54" s="63">
        <f>20000-D53</f>
        <v>19600</v>
      </c>
      <c r="E54" s="64"/>
      <c r="F54" s="63">
        <f>30000-F53</f>
        <v>29400</v>
      </c>
      <c r="G54" s="63">
        <f>G46-G53</f>
        <v>4900</v>
      </c>
      <c r="H54" s="63">
        <f>20000-H53</f>
        <v>19600</v>
      </c>
      <c r="I54" s="63">
        <f t="shared" ref="I54:P54" si="5">I46-I53</f>
        <v>14700</v>
      </c>
      <c r="J54" s="63">
        <f t="shared" si="5"/>
        <v>10780</v>
      </c>
      <c r="K54" s="63">
        <f t="shared" si="5"/>
        <v>14700</v>
      </c>
      <c r="L54" s="63">
        <f t="shared" si="5"/>
        <v>3920</v>
      </c>
      <c r="M54" s="63">
        <f t="shared" si="5"/>
        <v>8555.4</v>
      </c>
      <c r="N54" s="63">
        <f t="shared" si="5"/>
        <v>14259</v>
      </c>
      <c r="O54" s="63">
        <f t="shared" si="5"/>
        <v>4753</v>
      </c>
      <c r="P54" s="63">
        <f t="shared" si="5"/>
        <v>950.6</v>
      </c>
      <c r="R54" s="6">
        <f>SUM(D54:P54)</f>
        <v>146118</v>
      </c>
      <c r="S54" s="58">
        <v>0.02</v>
      </c>
    </row>
    <row r="55" spans="2:19" x14ac:dyDescent="0.25">
      <c r="B55" s="58">
        <v>0.03</v>
      </c>
      <c r="D55" s="62">
        <f>D46*3%</f>
        <v>600</v>
      </c>
      <c r="E55" s="62"/>
      <c r="F55" s="62">
        <f>30000*3%</f>
        <v>900</v>
      </c>
      <c r="G55" s="62">
        <f>G46*3%</f>
        <v>150</v>
      </c>
      <c r="H55" s="62">
        <f>H46*3%</f>
        <v>600</v>
      </c>
      <c r="I55" s="62">
        <f>I46*3%</f>
        <v>450</v>
      </c>
      <c r="J55" s="62">
        <f>J46*3%</f>
        <v>330</v>
      </c>
      <c r="K55" s="62">
        <f>K46*3%</f>
        <v>450</v>
      </c>
      <c r="L55" s="62">
        <f>L46*3%%</f>
        <v>1.2</v>
      </c>
      <c r="M55" s="62">
        <f>9000*3%</f>
        <v>270</v>
      </c>
      <c r="N55" s="62">
        <f>N46*3%</f>
        <v>436.5</v>
      </c>
      <c r="O55" s="62">
        <f>O46*3%</f>
        <v>145.5</v>
      </c>
      <c r="P55" s="62">
        <f>P46*3%</f>
        <v>29.099999999999998</v>
      </c>
    </row>
    <row r="56" spans="2:19" x14ac:dyDescent="0.25">
      <c r="D56" s="65">
        <f>20000-D55</f>
        <v>19400</v>
      </c>
      <c r="E56" s="62"/>
      <c r="F56" s="65">
        <f>30000-F55</f>
        <v>29100</v>
      </c>
      <c r="G56" s="65">
        <f>G46-G55</f>
        <v>4850</v>
      </c>
      <c r="H56" s="65">
        <f>20000-H55</f>
        <v>19400</v>
      </c>
      <c r="I56" s="65">
        <f t="shared" ref="I56:P56" si="6">I46-I55</f>
        <v>14550</v>
      </c>
      <c r="J56" s="65">
        <f t="shared" si="6"/>
        <v>10670</v>
      </c>
      <c r="K56" s="65">
        <f t="shared" si="6"/>
        <v>14550</v>
      </c>
      <c r="L56" s="65">
        <f t="shared" si="6"/>
        <v>3998.8</v>
      </c>
      <c r="M56" s="65">
        <f t="shared" si="6"/>
        <v>8460</v>
      </c>
      <c r="N56" s="65">
        <f t="shared" si="6"/>
        <v>14113.5</v>
      </c>
      <c r="O56" s="65">
        <f t="shared" si="6"/>
        <v>4704.5</v>
      </c>
      <c r="P56" s="65">
        <f t="shared" si="6"/>
        <v>940.9</v>
      </c>
      <c r="R56" s="6">
        <f>SUM(D56:P57)</f>
        <v>144737.69999999998</v>
      </c>
      <c r="S56" s="58">
        <v>0.03</v>
      </c>
    </row>
    <row r="57" spans="2:19" x14ac:dyDescent="0.25"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R57" s="21"/>
    </row>
    <row r="59" spans="2:19" x14ac:dyDescent="0.25">
      <c r="B59" t="s">
        <v>42</v>
      </c>
    </row>
    <row r="60" spans="2:19" ht="15.75" thickBot="1" x14ac:dyDescent="0.3"/>
    <row r="61" spans="2:19" ht="39" customHeight="1" thickBot="1" x14ac:dyDescent="0.3">
      <c r="B61" s="102"/>
      <c r="C61" s="104" t="s">
        <v>1</v>
      </c>
      <c r="D61" s="104"/>
      <c r="E61" s="105"/>
      <c r="F61" s="10" t="s">
        <v>2</v>
      </c>
      <c r="G61" s="10" t="s">
        <v>3</v>
      </c>
      <c r="H61" s="10" t="s">
        <v>4</v>
      </c>
      <c r="I61" s="11" t="s">
        <v>5</v>
      </c>
      <c r="J61" s="11" t="s">
        <v>6</v>
      </c>
      <c r="K61" s="11" t="s">
        <v>7</v>
      </c>
      <c r="L61" s="11" t="s">
        <v>8</v>
      </c>
      <c r="M61" s="11" t="s">
        <v>9</v>
      </c>
      <c r="N61" s="11" t="s">
        <v>10</v>
      </c>
      <c r="O61" s="11" t="s">
        <v>11</v>
      </c>
      <c r="P61" s="11" t="s">
        <v>12</v>
      </c>
    </row>
    <row r="62" spans="2:19" x14ac:dyDescent="0.25">
      <c r="B62" s="103"/>
      <c r="C62" s="3" t="s">
        <v>13</v>
      </c>
      <c r="D62" s="4" t="s">
        <v>14</v>
      </c>
      <c r="E62" s="4" t="s">
        <v>15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/>
    </row>
    <row r="63" spans="2:19" s="8" customFormat="1" ht="88.9" customHeight="1" x14ac:dyDescent="0.25">
      <c r="B63" s="17" t="s">
        <v>0</v>
      </c>
      <c r="C63" s="14">
        <v>0</v>
      </c>
      <c r="D63" s="7">
        <v>20000</v>
      </c>
      <c r="E63" s="7">
        <v>0</v>
      </c>
      <c r="F63" s="30">
        <v>30000</v>
      </c>
      <c r="G63" s="30">
        <v>5000</v>
      </c>
      <c r="H63" s="30">
        <v>20000</v>
      </c>
      <c r="I63" s="30">
        <v>15000</v>
      </c>
      <c r="J63" s="30">
        <v>11000</v>
      </c>
      <c r="K63" s="30">
        <v>15000</v>
      </c>
      <c r="L63" s="30">
        <v>4000</v>
      </c>
      <c r="M63" s="30">
        <v>9000</v>
      </c>
      <c r="N63" s="30">
        <v>15000</v>
      </c>
      <c r="O63" s="30">
        <v>5000</v>
      </c>
      <c r="P63" s="31">
        <v>1000</v>
      </c>
    </row>
    <row r="64" spans="2:19" x14ac:dyDescent="0.25">
      <c r="B64" s="18" t="s">
        <v>28</v>
      </c>
      <c r="C64" s="15">
        <v>0</v>
      </c>
      <c r="D64" s="57">
        <v>11</v>
      </c>
      <c r="E64" s="1">
        <v>0</v>
      </c>
      <c r="F64" s="1">
        <v>6</v>
      </c>
      <c r="G64" s="1">
        <v>6</v>
      </c>
      <c r="H64" s="1">
        <v>5</v>
      </c>
      <c r="I64" s="1">
        <v>6</v>
      </c>
      <c r="J64" s="1">
        <v>6</v>
      </c>
      <c r="K64" s="1">
        <v>6</v>
      </c>
      <c r="L64" s="1">
        <v>11</v>
      </c>
      <c r="M64" s="1">
        <v>11</v>
      </c>
      <c r="N64" s="1">
        <v>8.5</v>
      </c>
      <c r="O64" s="1">
        <v>0</v>
      </c>
      <c r="P64" s="2">
        <v>0</v>
      </c>
    </row>
    <row r="65" spans="2:19" ht="15.75" thickBot="1" x14ac:dyDescent="0.3">
      <c r="B65" s="19" t="s">
        <v>30</v>
      </c>
      <c r="C65" s="16">
        <v>0</v>
      </c>
      <c r="D65" s="12">
        <v>6</v>
      </c>
      <c r="E65" s="12">
        <v>0</v>
      </c>
      <c r="F65" s="12">
        <v>0</v>
      </c>
      <c r="G65" s="12">
        <v>0</v>
      </c>
      <c r="H65" s="12">
        <v>3.5</v>
      </c>
      <c r="I65" s="12">
        <v>0</v>
      </c>
      <c r="J65" s="12">
        <v>0</v>
      </c>
      <c r="K65" s="12">
        <v>0</v>
      </c>
      <c r="L65" s="12">
        <v>7.5</v>
      </c>
      <c r="M65" s="12">
        <v>0</v>
      </c>
      <c r="N65" s="13">
        <v>0.5</v>
      </c>
      <c r="O65" s="12">
        <v>5</v>
      </c>
      <c r="P65" s="22">
        <v>50</v>
      </c>
    </row>
    <row r="66" spans="2:19" s="20" customFormat="1" ht="26.25" customHeight="1" thickBot="1" x14ac:dyDescent="0.3">
      <c r="B66" s="23" t="s">
        <v>29</v>
      </c>
      <c r="C66" s="24"/>
      <c r="D66" s="25">
        <f>D63*17</f>
        <v>340000</v>
      </c>
      <c r="E66" s="26"/>
      <c r="F66" s="25">
        <f>F63*6</f>
        <v>180000</v>
      </c>
      <c r="G66" s="25">
        <f>G63*G64</f>
        <v>30000</v>
      </c>
      <c r="H66" s="25">
        <f>H63*8.5</f>
        <v>170000</v>
      </c>
      <c r="I66" s="25">
        <f>I63*6</f>
        <v>90000</v>
      </c>
      <c r="J66" s="25">
        <f>J63*6</f>
        <v>66000</v>
      </c>
      <c r="K66" s="25">
        <f>K63*K64</f>
        <v>90000</v>
      </c>
      <c r="L66" s="25">
        <f>L63*18.5</f>
        <v>74000</v>
      </c>
      <c r="M66" s="25">
        <f>M63*M64</f>
        <v>99000</v>
      </c>
      <c r="N66" s="25">
        <f>N63*9</f>
        <v>135000</v>
      </c>
      <c r="O66" s="25">
        <f>O63*5</f>
        <v>25000</v>
      </c>
      <c r="P66" s="27">
        <f>P63*50</f>
        <v>50000</v>
      </c>
      <c r="R66" s="21">
        <f>SUM(D66:P66)</f>
        <v>1349000</v>
      </c>
    </row>
    <row r="67" spans="2:19" x14ac:dyDescent="0.25">
      <c r="R67" s="6">
        <f>R66*1%</f>
        <v>13490</v>
      </c>
      <c r="S67" s="58">
        <v>0.01</v>
      </c>
    </row>
    <row r="68" spans="2:19" x14ac:dyDescent="0.25">
      <c r="R68" s="61">
        <f>R66-R67</f>
        <v>1335510</v>
      </c>
    </row>
    <row r="70" spans="2:19" x14ac:dyDescent="0.25">
      <c r="R70" s="6">
        <f>R66*2%</f>
        <v>26980</v>
      </c>
      <c r="S70" s="58">
        <v>0.02</v>
      </c>
    </row>
    <row r="71" spans="2:19" x14ac:dyDescent="0.25">
      <c r="R71" s="61">
        <f>R66-R70</f>
        <v>1322020</v>
      </c>
    </row>
    <row r="73" spans="2:19" x14ac:dyDescent="0.25">
      <c r="R73" s="6">
        <f>R66*3%</f>
        <v>40470</v>
      </c>
      <c r="S73" s="58">
        <v>0.03</v>
      </c>
    </row>
    <row r="74" spans="2:19" x14ac:dyDescent="0.25">
      <c r="R74" s="61">
        <f>R66-R73</f>
        <v>1308530</v>
      </c>
    </row>
  </sheetData>
  <mergeCells count="12">
    <mergeCell ref="B4:B5"/>
    <mergeCell ref="C4:E4"/>
    <mergeCell ref="B44:B45"/>
    <mergeCell ref="C44:E44"/>
    <mergeCell ref="B61:B62"/>
    <mergeCell ref="C61:E61"/>
    <mergeCell ref="B21:B22"/>
    <mergeCell ref="C21:E21"/>
    <mergeCell ref="B29:B30"/>
    <mergeCell ref="C29:E29"/>
    <mergeCell ref="B36:B37"/>
    <mergeCell ref="C36:E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O99"/>
  <sheetViews>
    <sheetView showGridLines="0" tabSelected="1" topLeftCell="A5" zoomScale="83" zoomScaleNormal="83" workbookViewId="0">
      <selection activeCell="D19" sqref="D19"/>
    </sheetView>
  </sheetViews>
  <sheetFormatPr defaultColWidth="11.42578125" defaultRowHeight="15" x14ac:dyDescent="0.25"/>
  <cols>
    <col min="1" max="1" width="32.28515625" style="32" customWidth="1"/>
    <col min="2" max="2" width="39.5703125" style="32" customWidth="1"/>
    <col min="3" max="3" width="19.140625" style="32" customWidth="1"/>
    <col min="4" max="4" width="19.42578125" style="32" customWidth="1"/>
    <col min="5" max="5" width="20.85546875" style="32" customWidth="1"/>
    <col min="6" max="6" width="19.7109375" style="32" customWidth="1"/>
    <col min="7" max="7" width="13.7109375" style="32" customWidth="1"/>
    <col min="8" max="8" width="30.85546875" style="32" customWidth="1"/>
    <col min="9" max="9" width="18.5703125" style="32" customWidth="1"/>
    <col min="10" max="10" width="21.28515625" style="32" customWidth="1"/>
    <col min="11" max="16384" width="11.42578125" style="32"/>
  </cols>
  <sheetData>
    <row r="1" spans="1:12" x14ac:dyDescent="0.25">
      <c r="B1" s="32" t="s">
        <v>48</v>
      </c>
    </row>
    <row r="2" spans="1:12" ht="16.5" customHeight="1" x14ac:dyDescent="0.25">
      <c r="H2" s="60"/>
    </row>
    <row r="3" spans="1:12" ht="30" customHeight="1" x14ac:dyDescent="0.25">
      <c r="A3" s="32" t="s">
        <v>16</v>
      </c>
      <c r="B3" s="45" t="s">
        <v>61</v>
      </c>
      <c r="H3" s="93"/>
      <c r="I3" s="93"/>
      <c r="J3" s="93"/>
      <c r="K3" s="93"/>
      <c r="L3" s="93"/>
    </row>
    <row r="4" spans="1:12" ht="15.75" thickBot="1" x14ac:dyDescent="0.3">
      <c r="H4" s="93"/>
      <c r="I4" s="93"/>
      <c r="J4" s="93"/>
      <c r="K4" s="93"/>
      <c r="L4" s="93"/>
    </row>
    <row r="5" spans="1:12" ht="82.5" customHeight="1" thickBot="1" x14ac:dyDescent="0.3">
      <c r="B5" s="50" t="s">
        <v>17</v>
      </c>
      <c r="C5" s="51" t="s">
        <v>60</v>
      </c>
      <c r="D5" s="51" t="s">
        <v>58</v>
      </c>
      <c r="E5" s="51" t="s">
        <v>59</v>
      </c>
      <c r="F5" s="52" t="s">
        <v>33</v>
      </c>
      <c r="H5" s="97" t="s">
        <v>55</v>
      </c>
      <c r="I5" s="97"/>
      <c r="J5" s="97"/>
      <c r="K5" s="97"/>
      <c r="L5" s="93"/>
    </row>
    <row r="6" spans="1:12" x14ac:dyDescent="0.25">
      <c r="B6" s="47" t="s">
        <v>38</v>
      </c>
      <c r="C6" s="48">
        <v>80000</v>
      </c>
      <c r="D6" s="54">
        <v>158500</v>
      </c>
      <c r="E6" s="48">
        <v>128700</v>
      </c>
      <c r="F6" s="49"/>
      <c r="H6" s="93">
        <v>109</v>
      </c>
      <c r="I6" s="94">
        <f>C6/109</f>
        <v>733.94495412844037</v>
      </c>
      <c r="J6" s="94"/>
      <c r="K6" s="94"/>
      <c r="L6" s="93"/>
    </row>
    <row r="7" spans="1:12" x14ac:dyDescent="0.25">
      <c r="B7" s="39" t="s">
        <v>19</v>
      </c>
      <c r="C7" s="37">
        <v>0.5</v>
      </c>
      <c r="D7" s="37">
        <v>1</v>
      </c>
      <c r="E7" s="37">
        <v>1</v>
      </c>
      <c r="F7" s="40"/>
      <c r="H7" s="93">
        <v>218</v>
      </c>
      <c r="I7" s="93">
        <f>D6/218</f>
        <v>727.06422018348621</v>
      </c>
      <c r="J7" s="93">
        <f>E6/218</f>
        <v>590.36697247706422</v>
      </c>
      <c r="K7" s="93"/>
      <c r="L7" s="93"/>
    </row>
    <row r="8" spans="1:12" ht="30" x14ac:dyDescent="0.25">
      <c r="B8" s="39" t="s">
        <v>64</v>
      </c>
      <c r="C8" s="54">
        <f>80000/218</f>
        <v>366.97247706422019</v>
      </c>
      <c r="D8" s="54">
        <f>158500/2/218</f>
        <v>363.53211009174311</v>
      </c>
      <c r="E8" s="48">
        <f>128700/218/2</f>
        <v>295.18348623853211</v>
      </c>
      <c r="F8" s="40"/>
      <c r="H8" s="93"/>
      <c r="I8" s="93"/>
      <c r="J8" s="93"/>
      <c r="K8" s="93"/>
      <c r="L8" s="93"/>
    </row>
    <row r="9" spans="1:12" x14ac:dyDescent="0.25">
      <c r="B9" s="39" t="s">
        <v>63</v>
      </c>
      <c r="C9" s="54">
        <f>80000</f>
        <v>80000</v>
      </c>
      <c r="D9" s="54">
        <f>D6/2</f>
        <v>79250</v>
      </c>
      <c r="E9" s="48">
        <f>E6/2</f>
        <v>64350</v>
      </c>
      <c r="F9" s="40"/>
      <c r="H9" s="93"/>
      <c r="I9" s="93"/>
      <c r="J9" s="93"/>
      <c r="K9" s="93"/>
      <c r="L9" s="93"/>
    </row>
    <row r="10" spans="1:12" ht="15.75" x14ac:dyDescent="0.25">
      <c r="B10" s="39" t="s">
        <v>20</v>
      </c>
      <c r="C10" s="33"/>
      <c r="D10" s="33"/>
      <c r="E10" s="33"/>
      <c r="F10" s="46">
        <f>SUM(C6:E6)</f>
        <v>367200</v>
      </c>
      <c r="H10" s="94"/>
      <c r="I10" s="95"/>
      <c r="J10" s="93"/>
      <c r="K10" s="93"/>
      <c r="L10" s="93"/>
    </row>
    <row r="11" spans="1:12" x14ac:dyDescent="0.25">
      <c r="B11" s="39"/>
      <c r="C11" s="33"/>
      <c r="D11" s="33"/>
      <c r="E11" s="33"/>
      <c r="F11" s="40"/>
      <c r="H11" s="96"/>
      <c r="I11" s="93"/>
      <c r="J11" s="93"/>
      <c r="K11" s="93"/>
      <c r="L11" s="93"/>
    </row>
    <row r="12" spans="1:12" ht="35.25" customHeight="1" thickBot="1" x14ac:dyDescent="0.3">
      <c r="B12" s="41" t="s">
        <v>21</v>
      </c>
      <c r="C12" s="42"/>
      <c r="D12" s="42"/>
      <c r="E12" s="42"/>
      <c r="F12" s="43"/>
      <c r="H12" s="93"/>
      <c r="I12" s="93"/>
      <c r="J12" s="93"/>
      <c r="K12" s="93"/>
      <c r="L12" s="93"/>
    </row>
    <row r="13" spans="1:12" ht="25.5" customHeight="1" x14ac:dyDescent="0.25">
      <c r="F13" s="36"/>
    </row>
    <row r="14" spans="1:12" ht="30" x14ac:dyDescent="0.25">
      <c r="B14" s="39" t="s">
        <v>64</v>
      </c>
      <c r="C14" s="54">
        <v>366.97</v>
      </c>
      <c r="D14" s="54">
        <v>725</v>
      </c>
      <c r="E14" s="48">
        <v>590</v>
      </c>
      <c r="F14" s="40"/>
      <c r="H14" s="93"/>
      <c r="I14" s="93"/>
      <c r="J14" s="93"/>
      <c r="K14" s="93"/>
      <c r="L14" s="93"/>
    </row>
    <row r="15" spans="1:12" x14ac:dyDescent="0.25">
      <c r="B15" s="39" t="s">
        <v>67</v>
      </c>
      <c r="C15" s="54">
        <f>80000</f>
        <v>80000</v>
      </c>
      <c r="D15" s="54">
        <v>60000</v>
      </c>
      <c r="E15" s="48">
        <v>50000</v>
      </c>
      <c r="F15" s="40"/>
      <c r="H15" s="93"/>
      <c r="I15" s="93"/>
      <c r="J15" s="93"/>
      <c r="K15" s="93"/>
      <c r="L15" s="93"/>
    </row>
    <row r="16" spans="1:12" x14ac:dyDescent="0.25">
      <c r="B16" s="39" t="s">
        <v>53</v>
      </c>
      <c r="C16" s="37" t="s">
        <v>50</v>
      </c>
      <c r="D16" s="54">
        <f>158500/2</f>
        <v>79250</v>
      </c>
      <c r="E16" s="48">
        <f>128700/2</f>
        <v>64350</v>
      </c>
      <c r="F16" s="40"/>
      <c r="H16" s="93"/>
      <c r="I16" s="93"/>
      <c r="J16" s="93"/>
      <c r="K16" s="93"/>
      <c r="L16" s="93"/>
    </row>
    <row r="17" spans="1:11" s="100" customFormat="1" x14ac:dyDescent="0.25">
      <c r="B17" s="100" t="s">
        <v>68</v>
      </c>
      <c r="C17" s="101" t="s">
        <v>50</v>
      </c>
      <c r="D17" s="60">
        <f>D16-D15</f>
        <v>19250</v>
      </c>
      <c r="E17" s="60">
        <f>E16-E15</f>
        <v>14350</v>
      </c>
    </row>
    <row r="18" spans="1:11" ht="32.25" customHeight="1" x14ac:dyDescent="0.25">
      <c r="D18" s="36"/>
      <c r="E18" s="36"/>
      <c r="F18" s="36"/>
      <c r="H18" s="32" t="s">
        <v>56</v>
      </c>
    </row>
    <row r="19" spans="1:11" ht="32.25" customHeight="1" x14ac:dyDescent="0.25">
      <c r="A19" s="32" t="s">
        <v>52</v>
      </c>
      <c r="C19" s="98">
        <v>80000</v>
      </c>
      <c r="D19" s="36" t="s">
        <v>65</v>
      </c>
      <c r="E19" s="36">
        <f>50000</f>
        <v>50000</v>
      </c>
      <c r="F19" s="36"/>
      <c r="H19" s="32" t="s">
        <v>57</v>
      </c>
    </row>
    <row r="20" spans="1:11" ht="32.25" customHeight="1" x14ac:dyDescent="0.25">
      <c r="A20" s="32" t="s">
        <v>51</v>
      </c>
      <c r="C20" s="98" t="s">
        <v>49</v>
      </c>
      <c r="D20" s="36">
        <f>65000/14</f>
        <v>4642.8571428571431</v>
      </c>
      <c r="E20" s="36">
        <f>50000/14</f>
        <v>3571.4285714285716</v>
      </c>
      <c r="F20" s="36"/>
    </row>
    <row r="21" spans="1:11" ht="32.25" customHeight="1" x14ac:dyDescent="0.25">
      <c r="A21" s="32" t="s">
        <v>66</v>
      </c>
      <c r="C21" s="98"/>
      <c r="D21" s="36"/>
      <c r="E21" s="36">
        <f>46000/14</f>
        <v>3285.7142857142858</v>
      </c>
      <c r="F21" s="36">
        <f>E21*45%</f>
        <v>1478.5714285714287</v>
      </c>
      <c r="G21" s="36">
        <f>E21-F21</f>
        <v>1807.1428571428571</v>
      </c>
    </row>
    <row r="22" spans="1:11" ht="35.25" customHeight="1" x14ac:dyDescent="0.25">
      <c r="A22" s="99" t="s">
        <v>54</v>
      </c>
      <c r="D22" s="36"/>
      <c r="E22" s="36">
        <f>50000/14</f>
        <v>3571.4285714285716</v>
      </c>
      <c r="F22" s="36">
        <f>E22*45%</f>
        <v>1607.1428571428573</v>
      </c>
      <c r="G22" s="36">
        <f>E22-F22</f>
        <v>1964.2857142857142</v>
      </c>
    </row>
    <row r="23" spans="1:11" ht="60.6" customHeight="1" x14ac:dyDescent="0.25">
      <c r="A23" s="32" t="s">
        <v>62</v>
      </c>
      <c r="F23" s="36"/>
    </row>
    <row r="24" spans="1:11" x14ac:dyDescent="0.25">
      <c r="B24" s="32" t="s">
        <v>43</v>
      </c>
    </row>
    <row r="25" spans="1:11" ht="16.5" customHeight="1" x14ac:dyDescent="0.25">
      <c r="H25" s="60"/>
    </row>
    <row r="26" spans="1:11" ht="30" customHeight="1" x14ac:dyDescent="0.25">
      <c r="A26" s="32" t="s">
        <v>16</v>
      </c>
      <c r="B26" s="45" t="s">
        <v>45</v>
      </c>
    </row>
    <row r="27" spans="1:11" ht="15.75" thickBot="1" x14ac:dyDescent="0.3">
      <c r="C27" s="32">
        <f>C29/218</f>
        <v>366.97247706422019</v>
      </c>
      <c r="D27" s="32">
        <f>D29/2/218</f>
        <v>363.53211009174311</v>
      </c>
      <c r="E27" s="32">
        <f>E29/2/218</f>
        <v>295.18348623853211</v>
      </c>
    </row>
    <row r="28" spans="1:11" ht="61.9" customHeight="1" thickBot="1" x14ac:dyDescent="0.3">
      <c r="B28" s="50" t="s">
        <v>17</v>
      </c>
      <c r="C28" s="51" t="s">
        <v>24</v>
      </c>
      <c r="D28" s="51" t="s">
        <v>34</v>
      </c>
      <c r="E28" s="51" t="s">
        <v>35</v>
      </c>
      <c r="F28" s="52" t="s">
        <v>33</v>
      </c>
      <c r="H28" s="32" t="s">
        <v>46</v>
      </c>
      <c r="I28" s="92" t="s">
        <v>47</v>
      </c>
      <c r="J28" s="32" t="s">
        <v>46</v>
      </c>
      <c r="K28" s="92" t="s">
        <v>47</v>
      </c>
    </row>
    <row r="29" spans="1:11" x14ac:dyDescent="0.25">
      <c r="B29" s="47" t="s">
        <v>38</v>
      </c>
      <c r="C29" s="48">
        <v>80000</v>
      </c>
      <c r="D29" s="54">
        <v>158500</v>
      </c>
      <c r="E29" s="48">
        <v>128700</v>
      </c>
      <c r="F29" s="49"/>
      <c r="H29" s="36">
        <f>D29/2</f>
        <v>79250</v>
      </c>
      <c r="I29" s="36">
        <f>H29/14</f>
        <v>5660.7142857142853</v>
      </c>
      <c r="J29" s="36">
        <f>E29/2</f>
        <v>64350</v>
      </c>
      <c r="K29" s="36">
        <f>J29/14</f>
        <v>4596.4285714285716</v>
      </c>
    </row>
    <row r="30" spans="1:11" x14ac:dyDescent="0.25">
      <c r="B30" s="39" t="s">
        <v>19</v>
      </c>
      <c r="C30" s="37">
        <v>0.5</v>
      </c>
      <c r="D30" s="37">
        <v>1</v>
      </c>
      <c r="E30" s="37">
        <v>1</v>
      </c>
      <c r="F30" s="40"/>
    </row>
    <row r="31" spans="1:11" ht="15.75" x14ac:dyDescent="0.25">
      <c r="B31" s="39" t="s">
        <v>20</v>
      </c>
      <c r="C31" s="33"/>
      <c r="D31" s="33"/>
      <c r="E31" s="33"/>
      <c r="F31" s="46">
        <f>SUM(C29:E29)</f>
        <v>367200</v>
      </c>
      <c r="H31" s="36"/>
      <c r="I31" s="59"/>
    </row>
    <row r="32" spans="1:11" x14ac:dyDescent="0.25">
      <c r="B32" s="39"/>
      <c r="C32" s="33"/>
      <c r="D32" s="33"/>
      <c r="E32" s="33"/>
      <c r="F32" s="40"/>
      <c r="H32" s="60"/>
    </row>
    <row r="33" spans="2:15" ht="35.25" customHeight="1" thickBot="1" x14ac:dyDescent="0.3">
      <c r="B33" s="41" t="s">
        <v>21</v>
      </c>
      <c r="C33" s="42"/>
      <c r="D33" s="42"/>
      <c r="E33" s="42"/>
      <c r="F33" s="43"/>
      <c r="O33" s="32">
        <f>57.87*8</f>
        <v>462.96</v>
      </c>
    </row>
    <row r="34" spans="2:15" ht="16.5" customHeight="1" x14ac:dyDescent="0.25">
      <c r="H34" s="60"/>
    </row>
    <row r="35" spans="2:15" s="38" customFormat="1" ht="15.75" x14ac:dyDescent="0.25">
      <c r="B35" s="108" t="s">
        <v>37</v>
      </c>
      <c r="C35" s="108"/>
      <c r="D35" s="108"/>
      <c r="E35" s="108"/>
    </row>
    <row r="36" spans="2:15" ht="9" customHeight="1" thickBot="1" x14ac:dyDescent="0.3"/>
    <row r="37" spans="2:15" ht="43.15" customHeight="1" thickBot="1" x14ac:dyDescent="0.3">
      <c r="B37" s="53" t="s">
        <v>17</v>
      </c>
      <c r="C37" s="51" t="s">
        <v>36</v>
      </c>
      <c r="D37" s="51" t="s">
        <v>27</v>
      </c>
      <c r="E37" s="56" t="s">
        <v>40</v>
      </c>
    </row>
    <row r="38" spans="2:15" x14ac:dyDescent="0.25">
      <c r="B38" s="47" t="s">
        <v>31</v>
      </c>
      <c r="C38" s="55" t="s">
        <v>39</v>
      </c>
      <c r="D38" s="55" t="s">
        <v>39</v>
      </c>
      <c r="E38" s="49"/>
    </row>
    <row r="39" spans="2:15" x14ac:dyDescent="0.25">
      <c r="B39" s="39" t="s">
        <v>19</v>
      </c>
      <c r="C39" s="37">
        <v>1</v>
      </c>
      <c r="D39" s="37">
        <v>1</v>
      </c>
      <c r="E39" s="40"/>
    </row>
    <row r="40" spans="2:15" x14ac:dyDescent="0.25">
      <c r="B40" s="39" t="s">
        <v>20</v>
      </c>
      <c r="C40" s="33">
        <v>0</v>
      </c>
      <c r="D40" s="33">
        <v>0</v>
      </c>
      <c r="E40" s="40"/>
    </row>
    <row r="41" spans="2:15" x14ac:dyDescent="0.25">
      <c r="B41" s="39"/>
      <c r="C41" s="33"/>
      <c r="D41" s="33"/>
      <c r="E41" s="40"/>
      <c r="G41" s="36"/>
    </row>
    <row r="42" spans="2:15" ht="30" customHeight="1" thickBot="1" x14ac:dyDescent="0.3">
      <c r="B42" s="41" t="s">
        <v>21</v>
      </c>
      <c r="C42" s="42"/>
      <c r="D42" s="42"/>
      <c r="E42" s="44"/>
    </row>
    <row r="44" spans="2:15" ht="15.6" customHeight="1" x14ac:dyDescent="0.25">
      <c r="B44" s="62">
        <v>1</v>
      </c>
      <c r="C44" s="70">
        <f>80000*1%</f>
        <v>800</v>
      </c>
      <c r="D44" s="70">
        <f>160000*1%</f>
        <v>1600</v>
      </c>
      <c r="E44" s="70">
        <f>130000*1%</f>
        <v>1300</v>
      </c>
      <c r="F44" s="36"/>
      <c r="H44" s="60"/>
    </row>
    <row r="45" spans="2:15" ht="16.5" customHeight="1" x14ac:dyDescent="0.25">
      <c r="B45" s="62"/>
      <c r="C45" s="36">
        <f>C29-C44</f>
        <v>79200</v>
      </c>
      <c r="D45" s="36">
        <f>D29-D44</f>
        <v>156900</v>
      </c>
      <c r="E45" s="36">
        <f>E29-E44</f>
        <v>127400</v>
      </c>
      <c r="F45" s="36"/>
      <c r="H45" s="60">
        <f>SUM(C45:E45)</f>
        <v>363500</v>
      </c>
      <c r="I45" s="59">
        <v>0.01</v>
      </c>
    </row>
    <row r="46" spans="2:15" ht="16.5" customHeight="1" x14ac:dyDescent="0.25">
      <c r="B46" s="62"/>
      <c r="C46" s="36"/>
      <c r="D46" s="36"/>
      <c r="E46" s="36"/>
      <c r="F46" s="36"/>
      <c r="H46" s="60"/>
    </row>
    <row r="47" spans="2:15" ht="16.5" customHeight="1" x14ac:dyDescent="0.25">
      <c r="B47" s="62">
        <v>2</v>
      </c>
      <c r="C47" s="70">
        <f>80000*2%</f>
        <v>1600</v>
      </c>
      <c r="D47" s="70">
        <f>160000*2%</f>
        <v>3200</v>
      </c>
      <c r="E47" s="70">
        <f>130000*2%</f>
        <v>2600</v>
      </c>
      <c r="F47" s="36"/>
      <c r="H47" s="60"/>
    </row>
    <row r="48" spans="2:15" ht="16.5" customHeight="1" x14ac:dyDescent="0.25">
      <c r="B48" s="62"/>
      <c r="C48" s="36">
        <f>C29-C47</f>
        <v>78400</v>
      </c>
      <c r="D48" s="36">
        <f>D29-D47</f>
        <v>155300</v>
      </c>
      <c r="E48" s="36">
        <f>E29-E47</f>
        <v>126100</v>
      </c>
      <c r="F48" s="36"/>
      <c r="H48" s="60">
        <f>SUM(C48:G48)</f>
        <v>359800</v>
      </c>
      <c r="I48" s="59">
        <v>0.02</v>
      </c>
    </row>
    <row r="49" spans="1:9" ht="27.75" customHeight="1" x14ac:dyDescent="0.25">
      <c r="B49" s="62">
        <v>3</v>
      </c>
      <c r="C49" s="70">
        <f>80000*3%</f>
        <v>2400</v>
      </c>
      <c r="D49" s="70">
        <f>160000*3%</f>
        <v>4800</v>
      </c>
      <c r="E49" s="70">
        <f>130000*3%</f>
        <v>3900</v>
      </c>
      <c r="F49" s="36"/>
      <c r="H49" s="60"/>
    </row>
    <row r="50" spans="1:9" ht="23.25" customHeight="1" x14ac:dyDescent="0.25">
      <c r="B50" s="62"/>
      <c r="C50" s="36">
        <f>C29-C49</f>
        <v>77600</v>
      </c>
      <c r="D50" s="36">
        <f>D29-D49</f>
        <v>153700</v>
      </c>
      <c r="E50" s="36">
        <f>E29-E49</f>
        <v>124800</v>
      </c>
      <c r="F50" s="36"/>
      <c r="H50" s="60">
        <f>SUM(C50:G50)</f>
        <v>356100</v>
      </c>
      <c r="I50" s="59">
        <v>0.03</v>
      </c>
    </row>
    <row r="51" spans="1:9" ht="38.25" customHeight="1" x14ac:dyDescent="0.25">
      <c r="B51" s="62"/>
      <c r="C51" s="36"/>
      <c r="D51" s="36"/>
      <c r="E51" s="36"/>
      <c r="F51" s="36"/>
      <c r="H51" s="60"/>
    </row>
    <row r="52" spans="1:9" ht="30" customHeight="1" x14ac:dyDescent="0.25">
      <c r="A52" s="32" t="s">
        <v>42</v>
      </c>
      <c r="B52" s="45" t="s">
        <v>41</v>
      </c>
    </row>
    <row r="53" spans="1:9" ht="15.75" thickBot="1" x14ac:dyDescent="0.3"/>
    <row r="54" spans="1:9" ht="61.9" customHeight="1" thickBot="1" x14ac:dyDescent="0.3">
      <c r="B54" s="50" t="s">
        <v>17</v>
      </c>
      <c r="C54" s="51" t="s">
        <v>24</v>
      </c>
      <c r="D54" s="51" t="s">
        <v>34</v>
      </c>
      <c r="E54" s="51" t="s">
        <v>35</v>
      </c>
      <c r="F54" s="52" t="s">
        <v>33</v>
      </c>
    </row>
    <row r="55" spans="1:9" x14ac:dyDescent="0.25">
      <c r="B55" s="47" t="s">
        <v>38</v>
      </c>
      <c r="C55" s="48">
        <v>80000</v>
      </c>
      <c r="D55" s="54">
        <f>80000*2</f>
        <v>160000</v>
      </c>
      <c r="E55" s="48">
        <f>65000*2</f>
        <v>130000</v>
      </c>
      <c r="F55" s="49"/>
      <c r="H55" s="36"/>
      <c r="I55" s="36"/>
    </row>
    <row r="56" spans="1:9" x14ac:dyDescent="0.25">
      <c r="B56" s="39" t="s">
        <v>19</v>
      </c>
      <c r="C56" s="37">
        <v>0.5</v>
      </c>
      <c r="D56" s="37">
        <v>1</v>
      </c>
      <c r="E56" s="37">
        <v>1</v>
      </c>
      <c r="F56" s="40"/>
    </row>
    <row r="57" spans="1:9" ht="15.75" x14ac:dyDescent="0.25">
      <c r="B57" s="39" t="s">
        <v>20</v>
      </c>
      <c r="C57" s="33"/>
      <c r="D57" s="33"/>
      <c r="E57" s="33"/>
      <c r="F57" s="46">
        <f>SUM(C55:E55)</f>
        <v>370000</v>
      </c>
      <c r="H57" s="36"/>
      <c r="I57" s="59"/>
    </row>
    <row r="58" spans="1:9" x14ac:dyDescent="0.25">
      <c r="B58" s="39"/>
      <c r="C58" s="33"/>
      <c r="D58" s="33"/>
      <c r="E58" s="33"/>
      <c r="F58" s="40"/>
      <c r="H58" s="60"/>
    </row>
    <row r="59" spans="1:9" ht="35.25" customHeight="1" thickBot="1" x14ac:dyDescent="0.3">
      <c r="B59" s="41" t="s">
        <v>21</v>
      </c>
      <c r="C59" s="42"/>
      <c r="D59" s="42"/>
      <c r="E59" s="42"/>
      <c r="F59" s="43"/>
    </row>
    <row r="60" spans="1:9" x14ac:dyDescent="0.25">
      <c r="H60" s="36"/>
      <c r="I60" s="59"/>
    </row>
    <row r="61" spans="1:9" ht="38.25" customHeight="1" x14ac:dyDescent="0.25">
      <c r="H61" s="60"/>
    </row>
    <row r="62" spans="1:9" s="38" customFormat="1" ht="15.75" x14ac:dyDescent="0.25">
      <c r="B62" s="108" t="s">
        <v>37</v>
      </c>
      <c r="C62" s="108"/>
      <c r="D62" s="108"/>
      <c r="E62" s="108"/>
    </row>
    <row r="63" spans="1:9" ht="9" customHeight="1" thickBot="1" x14ac:dyDescent="0.3"/>
    <row r="64" spans="1:9" ht="43.15" customHeight="1" thickBot="1" x14ac:dyDescent="0.3">
      <c r="B64" s="53" t="s">
        <v>17</v>
      </c>
      <c r="C64" s="51" t="s">
        <v>36</v>
      </c>
      <c r="D64" s="51" t="s">
        <v>27</v>
      </c>
      <c r="E64" s="56" t="s">
        <v>40</v>
      </c>
    </row>
    <row r="65" spans="1:7" x14ac:dyDescent="0.25">
      <c r="B65" s="47" t="s">
        <v>31</v>
      </c>
      <c r="C65" s="55" t="s">
        <v>39</v>
      </c>
      <c r="D65" s="55" t="s">
        <v>39</v>
      </c>
      <c r="E65" s="49"/>
    </row>
    <row r="66" spans="1:7" x14ac:dyDescent="0.25">
      <c r="B66" s="39" t="s">
        <v>19</v>
      </c>
      <c r="C66" s="37">
        <v>1</v>
      </c>
      <c r="D66" s="37">
        <v>1</v>
      </c>
      <c r="E66" s="40"/>
    </row>
    <row r="67" spans="1:7" x14ac:dyDescent="0.25">
      <c r="B67" s="39" t="s">
        <v>20</v>
      </c>
      <c r="C67" s="33">
        <v>0</v>
      </c>
      <c r="D67" s="33">
        <v>0</v>
      </c>
      <c r="E67" s="40"/>
    </row>
    <row r="68" spans="1:7" x14ac:dyDescent="0.25">
      <c r="B68" s="39"/>
      <c r="C68" s="33"/>
      <c r="D68" s="33"/>
      <c r="E68" s="40"/>
      <c r="G68" s="36"/>
    </row>
    <row r="69" spans="1:7" ht="30" customHeight="1" thickBot="1" x14ac:dyDescent="0.3">
      <c r="B69" s="41" t="s">
        <v>21</v>
      </c>
      <c r="C69" s="42"/>
      <c r="D69" s="42"/>
      <c r="E69" s="44"/>
    </row>
    <row r="80" spans="1:7" ht="30" customHeight="1" x14ac:dyDescent="0.25">
      <c r="A80" s="32" t="s">
        <v>16</v>
      </c>
      <c r="B80" s="32" t="s">
        <v>22</v>
      </c>
    </row>
    <row r="82" spans="2:10" ht="61.9" customHeight="1" x14ac:dyDescent="0.25">
      <c r="B82" s="33" t="s">
        <v>17</v>
      </c>
      <c r="C82" s="5" t="s">
        <v>24</v>
      </c>
      <c r="D82" s="5" t="s">
        <v>32</v>
      </c>
      <c r="E82" s="5" t="s">
        <v>26</v>
      </c>
      <c r="F82" s="5" t="s">
        <v>26</v>
      </c>
      <c r="G82" s="5" t="s">
        <v>33</v>
      </c>
    </row>
    <row r="83" spans="2:10" x14ac:dyDescent="0.25">
      <c r="B83" s="33" t="s">
        <v>31</v>
      </c>
      <c r="C83" s="34">
        <v>120000</v>
      </c>
      <c r="D83" s="35">
        <v>56000</v>
      </c>
      <c r="E83" s="34">
        <f>56000/2</f>
        <v>28000</v>
      </c>
      <c r="F83" s="34">
        <f>56000/2</f>
        <v>28000</v>
      </c>
      <c r="G83" s="34"/>
      <c r="I83" s="32">
        <f>50000/12</f>
        <v>4166.666666666667</v>
      </c>
      <c r="J83" s="36"/>
    </row>
    <row r="84" spans="2:10" x14ac:dyDescent="0.25">
      <c r="B84" s="33" t="s">
        <v>19</v>
      </c>
      <c r="C84" s="37">
        <v>1</v>
      </c>
      <c r="D84" s="37">
        <v>1</v>
      </c>
      <c r="E84" s="37">
        <v>0.5</v>
      </c>
      <c r="F84" s="37">
        <v>0.5</v>
      </c>
      <c r="G84" s="33"/>
    </row>
    <row r="85" spans="2:10" x14ac:dyDescent="0.25">
      <c r="B85" s="33" t="s">
        <v>20</v>
      </c>
      <c r="C85" s="33"/>
      <c r="D85" s="33"/>
      <c r="E85" s="33"/>
      <c r="F85" s="33"/>
      <c r="G85" s="33"/>
    </row>
    <row r="86" spans="2:10" x14ac:dyDescent="0.25">
      <c r="B86" s="33"/>
      <c r="C86" s="33"/>
      <c r="D86" s="33"/>
      <c r="E86" s="33"/>
      <c r="F86" s="33"/>
      <c r="G86" s="33"/>
    </row>
    <row r="87" spans="2:10" x14ac:dyDescent="0.25">
      <c r="B87" s="33" t="s">
        <v>21</v>
      </c>
      <c r="C87" s="33"/>
      <c r="D87" s="33"/>
      <c r="E87" s="33"/>
      <c r="F87" s="33"/>
      <c r="G87" s="34" t="e">
        <f>C83+D83+E83+#REF!+#REF!</f>
        <v>#REF!</v>
      </c>
    </row>
    <row r="89" spans="2:10" x14ac:dyDescent="0.25">
      <c r="B89" s="32" t="s">
        <v>23</v>
      </c>
    </row>
    <row r="91" spans="2:10" ht="31.5" customHeight="1" x14ac:dyDescent="0.25">
      <c r="B91" s="33" t="s">
        <v>17</v>
      </c>
      <c r="C91" s="9" t="s">
        <v>24</v>
      </c>
      <c r="D91" s="9" t="s">
        <v>25</v>
      </c>
      <c r="E91" s="9" t="s">
        <v>26</v>
      </c>
      <c r="F91" s="9" t="s">
        <v>26</v>
      </c>
      <c r="G91" s="5"/>
    </row>
    <row r="92" spans="2:10" x14ac:dyDescent="0.25">
      <c r="B92" s="33" t="s">
        <v>18</v>
      </c>
      <c r="C92" s="33"/>
      <c r="D92" s="33"/>
      <c r="E92" s="33"/>
      <c r="F92" s="33"/>
      <c r="G92" s="34"/>
      <c r="I92" s="32">
        <f>50000/12</f>
        <v>4166.666666666667</v>
      </c>
    </row>
    <row r="93" spans="2:10" x14ac:dyDescent="0.25">
      <c r="B93" s="33" t="s">
        <v>19</v>
      </c>
      <c r="C93" s="37"/>
      <c r="D93" s="37"/>
      <c r="E93" s="37"/>
      <c r="F93" s="37"/>
      <c r="G93" s="33"/>
    </row>
    <row r="94" spans="2:10" x14ac:dyDescent="0.25">
      <c r="B94" s="33" t="s">
        <v>20</v>
      </c>
      <c r="C94" s="33"/>
      <c r="D94" s="33"/>
      <c r="E94" s="33"/>
      <c r="F94" s="33"/>
      <c r="G94" s="33"/>
    </row>
    <row r="95" spans="2:10" x14ac:dyDescent="0.25">
      <c r="B95" s="33"/>
      <c r="C95" s="33"/>
      <c r="D95" s="33"/>
      <c r="E95" s="33"/>
      <c r="F95" s="33"/>
      <c r="G95" s="33"/>
    </row>
    <row r="96" spans="2:10" x14ac:dyDescent="0.25">
      <c r="B96" s="33" t="s">
        <v>21</v>
      </c>
      <c r="C96" s="33"/>
      <c r="D96" s="33"/>
      <c r="E96" s="33"/>
      <c r="F96" s="33"/>
      <c r="G96" s="33"/>
    </row>
    <row r="99" spans="3:6" x14ac:dyDescent="0.25">
      <c r="C99" s="32">
        <f>8500*14</f>
        <v>119000</v>
      </c>
      <c r="D99" s="32">
        <f>4000*14</f>
        <v>56000</v>
      </c>
      <c r="E99" s="32">
        <f>4000*14</f>
        <v>56000</v>
      </c>
      <c r="F99" s="32">
        <f>4000*14</f>
        <v>56000</v>
      </c>
    </row>
  </sheetData>
  <mergeCells count="2">
    <mergeCell ref="B62:E62"/>
    <mergeCell ref="B35:E3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2024-10-18T14:05:12Z</cp:lastPrinted>
  <dcterms:created xsi:type="dcterms:W3CDTF">2024-06-03T15:52:55Z</dcterms:created>
  <dcterms:modified xsi:type="dcterms:W3CDTF">2024-12-09T08:07:02Z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